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Desktop\Hemtag Large\HEMTAGS BADHUSGUIDE\"/>
    </mc:Choice>
  </mc:AlternateContent>
  <xr:revisionPtr revIDLastSave="0" documentId="8_{65AD4D49-3367-4BCE-81E4-AFB00A8BE316}" xr6:coauthVersionLast="47" xr6:coauthVersionMax="47" xr10:uidLastSave="{00000000-0000-0000-0000-000000000000}"/>
  <bookViews>
    <workbookView xWindow="-120" yWindow="-120" windowWidth="29040" windowHeight="15840" tabRatio="500" xr2:uid="{00000000-000D-0000-FFFF-FFFF00000000}"/>
  </bookViews>
  <sheets>
    <sheet name="1. Sammanfattning" sheetId="1" r:id="rId1"/>
    <sheet name="2. Benchmark kommunalt ägande" sheetId="2" r:id="rId2"/>
    <sheet name="3. Regionala nivåer" sheetId="3" r:id="rId3"/>
    <sheet name="4. Kommunalt ägande" sheetId="4" r:id="rId4"/>
    <sheet name="5. Extern aktör" sheetId="5" r:id="rId5"/>
    <sheet name="6. Jämförelse" sheetId="6" r:id="rId6"/>
    <sheet name="7. Källor och metod"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 i="6" l="1"/>
  <c r="D62" i="6"/>
  <c r="D55" i="6"/>
  <c r="D54" i="6"/>
  <c r="D47" i="6"/>
  <c r="D46" i="6"/>
  <c r="D39" i="6"/>
  <c r="D38" i="6"/>
  <c r="D31" i="6"/>
  <c r="D30" i="6"/>
  <c r="D23" i="6"/>
  <c r="D22" i="6"/>
  <c r="D53" i="5"/>
  <c r="C53" i="5"/>
  <c r="D67" i="6" s="1"/>
  <c r="D52" i="5"/>
  <c r="C52" i="5"/>
  <c r="D66" i="6" s="1"/>
  <c r="D51" i="5"/>
  <c r="C51" i="5"/>
  <c r="D65" i="6" s="1"/>
  <c r="D50" i="5"/>
  <c r="C50" i="5"/>
  <c r="D64" i="6" s="1"/>
  <c r="D49" i="5"/>
  <c r="C49" i="5"/>
  <c r="D48" i="5"/>
  <c r="C48" i="5"/>
  <c r="D47" i="5"/>
  <c r="C47" i="5"/>
  <c r="D61" i="6" s="1"/>
  <c r="D46" i="5"/>
  <c r="C46" i="5"/>
  <c r="D60" i="6" s="1"/>
  <c r="D45" i="5"/>
  <c r="C45" i="5"/>
  <c r="D59" i="6" s="1"/>
  <c r="D44" i="5"/>
  <c r="C44" i="5"/>
  <c r="D58" i="6" s="1"/>
  <c r="D43" i="5"/>
  <c r="C43" i="5"/>
  <c r="D57" i="6" s="1"/>
  <c r="D42" i="5"/>
  <c r="C42" i="5"/>
  <c r="D56" i="6" s="1"/>
  <c r="D41" i="5"/>
  <c r="C41" i="5"/>
  <c r="D40" i="5"/>
  <c r="C40" i="5"/>
  <c r="D39" i="5"/>
  <c r="C39" i="5"/>
  <c r="D53" i="6" s="1"/>
  <c r="D38" i="5"/>
  <c r="C38" i="5"/>
  <c r="D52" i="6" s="1"/>
  <c r="D37" i="5"/>
  <c r="C37" i="5"/>
  <c r="D51" i="6" s="1"/>
  <c r="D36" i="5"/>
  <c r="C36" i="5"/>
  <c r="D50" i="6" s="1"/>
  <c r="D35" i="5"/>
  <c r="C35" i="5"/>
  <c r="D49" i="6" s="1"/>
  <c r="D34" i="5"/>
  <c r="C34" i="5"/>
  <c r="D48" i="6" s="1"/>
  <c r="D33" i="5"/>
  <c r="C33" i="5"/>
  <c r="D32" i="5"/>
  <c r="C32" i="5"/>
  <c r="D31" i="5"/>
  <c r="C31" i="5"/>
  <c r="D45" i="6" s="1"/>
  <c r="D30" i="5"/>
  <c r="C30" i="5"/>
  <c r="D44" i="6" s="1"/>
  <c r="D29" i="5"/>
  <c r="C29" i="5"/>
  <c r="D43" i="6" s="1"/>
  <c r="D28" i="5"/>
  <c r="C28" i="5"/>
  <c r="D42" i="6" s="1"/>
  <c r="D27" i="5"/>
  <c r="C27" i="5"/>
  <c r="D41" i="6" s="1"/>
  <c r="D26" i="5"/>
  <c r="C26" i="5"/>
  <c r="D40" i="6" s="1"/>
  <c r="D25" i="5"/>
  <c r="C25" i="5"/>
  <c r="D24" i="5"/>
  <c r="C24" i="5"/>
  <c r="D23" i="5"/>
  <c r="C23" i="5"/>
  <c r="D37" i="6" s="1"/>
  <c r="D22" i="5"/>
  <c r="C22" i="5"/>
  <c r="D36" i="6" s="1"/>
  <c r="D21" i="5"/>
  <c r="C21" i="5"/>
  <c r="D35" i="6" s="1"/>
  <c r="D20" i="5"/>
  <c r="C20" i="5"/>
  <c r="D34" i="6" s="1"/>
  <c r="D19" i="5"/>
  <c r="C19" i="5"/>
  <c r="D33" i="6" s="1"/>
  <c r="D18" i="5"/>
  <c r="C18" i="5"/>
  <c r="D32" i="6" s="1"/>
  <c r="D17" i="5"/>
  <c r="C17" i="5"/>
  <c r="D16" i="5"/>
  <c r="C16" i="5"/>
  <c r="D15" i="5"/>
  <c r="C15" i="5"/>
  <c r="D29" i="6" s="1"/>
  <c r="D14" i="5"/>
  <c r="C14" i="5"/>
  <c r="D28" i="6" s="1"/>
  <c r="D13" i="5"/>
  <c r="C13" i="5"/>
  <c r="D27" i="6" s="1"/>
  <c r="D12" i="5"/>
  <c r="C12" i="5"/>
  <c r="D26" i="6" s="1"/>
  <c r="D11" i="5"/>
  <c r="C11" i="5"/>
  <c r="D25" i="6" s="1"/>
  <c r="D10" i="5"/>
  <c r="C10" i="5"/>
  <c r="D24" i="6" s="1"/>
  <c r="D9" i="5"/>
  <c r="C9" i="5"/>
  <c r="D8" i="5"/>
  <c r="C8" i="5"/>
  <c r="D7" i="5"/>
  <c r="C7" i="5"/>
  <c r="D21" i="6" s="1"/>
  <c r="D6" i="5"/>
  <c r="C6" i="5"/>
  <c r="D20" i="6" s="1"/>
  <c r="D5" i="5"/>
  <c r="C5" i="5"/>
  <c r="D19" i="6" s="1"/>
  <c r="D4" i="5"/>
  <c r="D56" i="5" s="1"/>
  <c r="C4" i="5"/>
  <c r="D18" i="6" s="1"/>
  <c r="H62" i="4"/>
  <c r="C33" i="4" s="1"/>
  <c r="J33" i="4" s="1"/>
  <c r="C47" i="6" s="1"/>
  <c r="E47" i="6" s="1"/>
  <c r="H53" i="4"/>
  <c r="J53" i="4" s="1"/>
  <c r="C67" i="6" s="1"/>
  <c r="E67" i="6" s="1"/>
  <c r="G53" i="4"/>
  <c r="F53" i="4"/>
  <c r="E53" i="4"/>
  <c r="D53" i="4"/>
  <c r="C53" i="4"/>
  <c r="J52" i="4"/>
  <c r="C66" i="6" s="1"/>
  <c r="E66" i="6" s="1"/>
  <c r="H52" i="4"/>
  <c r="G52" i="4"/>
  <c r="F52" i="4"/>
  <c r="E52" i="4"/>
  <c r="D52" i="4"/>
  <c r="C52" i="4"/>
  <c r="H51" i="4"/>
  <c r="J51" i="4" s="1"/>
  <c r="C65" i="6" s="1"/>
  <c r="E65" i="6" s="1"/>
  <c r="G51" i="4"/>
  <c r="F51" i="4"/>
  <c r="E51" i="4"/>
  <c r="D51" i="4"/>
  <c r="C51" i="4"/>
  <c r="H50" i="4"/>
  <c r="J50" i="4" s="1"/>
  <c r="C64" i="6" s="1"/>
  <c r="E64" i="6" s="1"/>
  <c r="G50" i="4"/>
  <c r="F50" i="4"/>
  <c r="E50" i="4"/>
  <c r="D50" i="4"/>
  <c r="C50" i="4"/>
  <c r="H49" i="4"/>
  <c r="G49" i="4"/>
  <c r="F49" i="4"/>
  <c r="E49" i="4"/>
  <c r="D49" i="4"/>
  <c r="J49" i="4" s="1"/>
  <c r="C63" i="6" s="1"/>
  <c r="E63" i="6" s="1"/>
  <c r="C49" i="4"/>
  <c r="H48" i="4"/>
  <c r="J48" i="4" s="1"/>
  <c r="C62" i="6" s="1"/>
  <c r="E62" i="6" s="1"/>
  <c r="G48" i="4"/>
  <c r="F48" i="4"/>
  <c r="E48" i="4"/>
  <c r="D48" i="4"/>
  <c r="C48" i="4"/>
  <c r="H47" i="4"/>
  <c r="J47" i="4" s="1"/>
  <c r="C61" i="6" s="1"/>
  <c r="E61" i="6" s="1"/>
  <c r="G47" i="4"/>
  <c r="F47" i="4"/>
  <c r="E47" i="4"/>
  <c r="D47" i="4"/>
  <c r="C47" i="4"/>
  <c r="J46" i="4"/>
  <c r="C60" i="6" s="1"/>
  <c r="E60" i="6" s="1"/>
  <c r="H46" i="4"/>
  <c r="G46" i="4"/>
  <c r="F46" i="4"/>
  <c r="E46" i="4"/>
  <c r="D46" i="4"/>
  <c r="C46" i="4"/>
  <c r="H45" i="4"/>
  <c r="J45" i="4" s="1"/>
  <c r="C59" i="6" s="1"/>
  <c r="E59" i="6" s="1"/>
  <c r="G45" i="4"/>
  <c r="F45" i="4"/>
  <c r="E45" i="4"/>
  <c r="D45" i="4"/>
  <c r="C45" i="4"/>
  <c r="J44" i="4"/>
  <c r="C58" i="6" s="1"/>
  <c r="H44" i="4"/>
  <c r="G44" i="4"/>
  <c r="F44" i="4"/>
  <c r="E44" i="4"/>
  <c r="D44" i="4"/>
  <c r="C44" i="4"/>
  <c r="H43" i="4"/>
  <c r="J43" i="4" s="1"/>
  <c r="C57" i="6" s="1"/>
  <c r="E57" i="6" s="1"/>
  <c r="G43" i="4"/>
  <c r="F43" i="4"/>
  <c r="E43" i="4"/>
  <c r="D43" i="4"/>
  <c r="C43" i="4"/>
  <c r="H42" i="4"/>
  <c r="J42" i="4" s="1"/>
  <c r="C56" i="6" s="1"/>
  <c r="E56" i="6" s="1"/>
  <c r="G42" i="4"/>
  <c r="F42" i="4"/>
  <c r="E42" i="4"/>
  <c r="D42" i="4"/>
  <c r="C42" i="4"/>
  <c r="J41" i="4"/>
  <c r="C55" i="6" s="1"/>
  <c r="E55" i="6" s="1"/>
  <c r="H41" i="4"/>
  <c r="G41" i="4"/>
  <c r="F41" i="4"/>
  <c r="E41" i="4"/>
  <c r="D41" i="4"/>
  <c r="C41" i="4"/>
  <c r="H40" i="4"/>
  <c r="J40" i="4" s="1"/>
  <c r="C54" i="6" s="1"/>
  <c r="E54" i="6" s="1"/>
  <c r="G40" i="4"/>
  <c r="F40" i="4"/>
  <c r="E40" i="4"/>
  <c r="D40" i="4"/>
  <c r="C40" i="4"/>
  <c r="H39" i="4"/>
  <c r="J39" i="4" s="1"/>
  <c r="C53" i="6" s="1"/>
  <c r="E53" i="6" s="1"/>
  <c r="G39" i="4"/>
  <c r="F39" i="4"/>
  <c r="E39" i="4"/>
  <c r="D39" i="4"/>
  <c r="C39" i="4"/>
  <c r="J38" i="4"/>
  <c r="C52" i="6" s="1"/>
  <c r="E52" i="6" s="1"/>
  <c r="H38" i="4"/>
  <c r="G38" i="4"/>
  <c r="F38" i="4"/>
  <c r="E38" i="4"/>
  <c r="D38" i="4"/>
  <c r="C38" i="4"/>
  <c r="H37" i="4"/>
  <c r="J37" i="4" s="1"/>
  <c r="C51" i="6" s="1"/>
  <c r="E51" i="6" s="1"/>
  <c r="G37" i="4"/>
  <c r="F37" i="4"/>
  <c r="E37" i="4"/>
  <c r="D37" i="4"/>
  <c r="C37" i="4"/>
  <c r="J36" i="4"/>
  <c r="C50" i="6" s="1"/>
  <c r="H36" i="4"/>
  <c r="G36" i="4"/>
  <c r="F36" i="4"/>
  <c r="E36" i="4"/>
  <c r="D36" i="4"/>
  <c r="C36" i="4"/>
  <c r="H35" i="4"/>
  <c r="J35" i="4" s="1"/>
  <c r="C49" i="6" s="1"/>
  <c r="E49" i="6" s="1"/>
  <c r="G35" i="4"/>
  <c r="F35" i="4"/>
  <c r="E35" i="4"/>
  <c r="D35" i="4"/>
  <c r="C35" i="4"/>
  <c r="H34" i="4"/>
  <c r="J34" i="4" s="1"/>
  <c r="C48" i="6" s="1"/>
  <c r="E48" i="6" s="1"/>
  <c r="G34" i="4"/>
  <c r="F34" i="4"/>
  <c r="E34" i="4"/>
  <c r="D34" i="4"/>
  <c r="C34" i="4"/>
  <c r="H33" i="4"/>
  <c r="G33" i="4"/>
  <c r="F33" i="4"/>
  <c r="E33" i="4"/>
  <c r="D33" i="4"/>
  <c r="H32" i="4"/>
  <c r="G32" i="4"/>
  <c r="F32" i="4"/>
  <c r="E32" i="4"/>
  <c r="C32" i="4"/>
  <c r="H31" i="4"/>
  <c r="G31" i="4"/>
  <c r="F31" i="4"/>
  <c r="E31" i="4"/>
  <c r="D31" i="4"/>
  <c r="H30" i="4"/>
  <c r="G30" i="4"/>
  <c r="F30" i="4"/>
  <c r="E30" i="4"/>
  <c r="C30" i="4"/>
  <c r="H29" i="4"/>
  <c r="G29" i="4"/>
  <c r="F29" i="4"/>
  <c r="E29" i="4"/>
  <c r="H28" i="4"/>
  <c r="G28" i="4"/>
  <c r="F28" i="4"/>
  <c r="E28" i="4"/>
  <c r="D28" i="4"/>
  <c r="H27" i="4"/>
  <c r="G27" i="4"/>
  <c r="F27" i="4"/>
  <c r="E27" i="4"/>
  <c r="C27" i="4"/>
  <c r="H26" i="4"/>
  <c r="G26" i="4"/>
  <c r="F26" i="4"/>
  <c r="E26" i="4"/>
  <c r="H25" i="4"/>
  <c r="G25" i="4"/>
  <c r="F25" i="4"/>
  <c r="E25" i="4"/>
  <c r="D25" i="4"/>
  <c r="H24" i="4"/>
  <c r="G24" i="4"/>
  <c r="F24" i="4"/>
  <c r="E24" i="4"/>
  <c r="C24" i="4"/>
  <c r="H23" i="4"/>
  <c r="G23" i="4"/>
  <c r="F23" i="4"/>
  <c r="E23" i="4"/>
  <c r="D23" i="4"/>
  <c r="H22" i="4"/>
  <c r="G22" i="4"/>
  <c r="F22" i="4"/>
  <c r="E22" i="4"/>
  <c r="C22" i="4"/>
  <c r="H21" i="4"/>
  <c r="G21" i="4"/>
  <c r="F21" i="4"/>
  <c r="E21" i="4"/>
  <c r="H20" i="4"/>
  <c r="G20" i="4"/>
  <c r="F20" i="4"/>
  <c r="E20" i="4"/>
  <c r="D20" i="4"/>
  <c r="H19" i="4"/>
  <c r="G19" i="4"/>
  <c r="F19" i="4"/>
  <c r="E19" i="4"/>
  <c r="C19" i="4"/>
  <c r="H18" i="4"/>
  <c r="G18" i="4"/>
  <c r="F18" i="4"/>
  <c r="E18" i="4"/>
  <c r="H17" i="4"/>
  <c r="G17" i="4"/>
  <c r="F17" i="4"/>
  <c r="E17" i="4"/>
  <c r="D17" i="4"/>
  <c r="H16" i="4"/>
  <c r="G16" i="4"/>
  <c r="F16" i="4"/>
  <c r="E16" i="4"/>
  <c r="C16" i="4"/>
  <c r="H15" i="4"/>
  <c r="G15" i="4"/>
  <c r="F15" i="4"/>
  <c r="E15" i="4"/>
  <c r="D15" i="4"/>
  <c r="H14" i="4"/>
  <c r="G14" i="4"/>
  <c r="F14" i="4"/>
  <c r="E14" i="4"/>
  <c r="C14" i="4"/>
  <c r="H13" i="4"/>
  <c r="G13" i="4"/>
  <c r="F13" i="4"/>
  <c r="E13" i="4"/>
  <c r="H12" i="4"/>
  <c r="G12" i="4"/>
  <c r="F12" i="4"/>
  <c r="E12" i="4"/>
  <c r="D12" i="4"/>
  <c r="H11" i="4"/>
  <c r="G11" i="4"/>
  <c r="F11" i="4"/>
  <c r="E11" i="4"/>
  <c r="C11" i="4"/>
  <c r="H10" i="4"/>
  <c r="G10" i="4"/>
  <c r="F10" i="4"/>
  <c r="E10" i="4"/>
  <c r="H9" i="4"/>
  <c r="G9" i="4"/>
  <c r="F9" i="4"/>
  <c r="E9" i="4"/>
  <c r="D9" i="4"/>
  <c r="H8" i="4"/>
  <c r="J8" i="4" s="1"/>
  <c r="C22" i="6" s="1"/>
  <c r="E22" i="6" s="1"/>
  <c r="G8" i="4"/>
  <c r="F8" i="4"/>
  <c r="E8" i="4"/>
  <c r="D8" i="4"/>
  <c r="C8" i="4"/>
  <c r="H7" i="4"/>
  <c r="J7" i="4" s="1"/>
  <c r="C21" i="6" s="1"/>
  <c r="E21" i="6" s="1"/>
  <c r="G7" i="4"/>
  <c r="F7" i="4"/>
  <c r="E7" i="4"/>
  <c r="D7" i="4"/>
  <c r="C7" i="4"/>
  <c r="H6" i="4"/>
  <c r="G6" i="4"/>
  <c r="F6" i="4"/>
  <c r="F54" i="4" s="1"/>
  <c r="E6" i="4"/>
  <c r="C6" i="4"/>
  <c r="H5" i="4"/>
  <c r="G5" i="4"/>
  <c r="F5" i="4"/>
  <c r="E5" i="4"/>
  <c r="H4" i="4"/>
  <c r="H54" i="4" s="1"/>
  <c r="G4" i="4"/>
  <c r="G54" i="4" s="1"/>
  <c r="F4" i="4"/>
  <c r="E4" i="4"/>
  <c r="E54" i="4" s="1"/>
  <c r="D4" i="4"/>
  <c r="I39" i="2"/>
  <c r="J39" i="2" s="1"/>
  <c r="H39" i="2"/>
  <c r="G39" i="2"/>
  <c r="D39" i="2"/>
  <c r="C39" i="2"/>
  <c r="H37" i="2"/>
  <c r="G37" i="2"/>
  <c r="I37" i="2" s="1"/>
  <c r="J37" i="2" s="1"/>
  <c r="I36" i="2"/>
  <c r="J36" i="2" s="1"/>
  <c r="H36" i="2"/>
  <c r="G36" i="2"/>
  <c r="H35" i="2"/>
  <c r="G35" i="2"/>
  <c r="I35" i="2" s="1"/>
  <c r="J35" i="2" s="1"/>
  <c r="I34" i="2"/>
  <c r="J34" i="2" s="1"/>
  <c r="H34" i="2"/>
  <c r="G34" i="2"/>
  <c r="H33" i="2"/>
  <c r="G33" i="2"/>
  <c r="I33" i="2" s="1"/>
  <c r="J33" i="2" s="1"/>
  <c r="I32" i="2"/>
  <c r="J32" i="2" s="1"/>
  <c r="H32" i="2"/>
  <c r="G32" i="2"/>
  <c r="H31" i="2"/>
  <c r="G31" i="2"/>
  <c r="I31" i="2" s="1"/>
  <c r="J31" i="2" s="1"/>
  <c r="I30" i="2"/>
  <c r="J30" i="2" s="1"/>
  <c r="H30" i="2"/>
  <c r="G30" i="2"/>
  <c r="H29" i="2"/>
  <c r="G29" i="2"/>
  <c r="I29" i="2" s="1"/>
  <c r="J29" i="2" s="1"/>
  <c r="I28" i="2"/>
  <c r="J28" i="2" s="1"/>
  <c r="H28" i="2"/>
  <c r="G28" i="2"/>
  <c r="H27" i="2"/>
  <c r="G27" i="2"/>
  <c r="I27" i="2" s="1"/>
  <c r="J27" i="2" s="1"/>
  <c r="I26" i="2"/>
  <c r="J26" i="2" s="1"/>
  <c r="H26" i="2"/>
  <c r="G26" i="2"/>
  <c r="H25" i="2"/>
  <c r="G25" i="2"/>
  <c r="I25" i="2" s="1"/>
  <c r="J25" i="2" s="1"/>
  <c r="D30" i="1"/>
  <c r="G22" i="1"/>
  <c r="E22" i="1"/>
  <c r="A22" i="1"/>
  <c r="J15" i="4" l="1"/>
  <c r="C29" i="6" s="1"/>
  <c r="E29" i="6" s="1"/>
  <c r="J6" i="4"/>
  <c r="C20" i="6" s="1"/>
  <c r="E20" i="6" s="1"/>
  <c r="E50" i="6"/>
  <c r="J14" i="4"/>
  <c r="C28" i="6" s="1"/>
  <c r="E28" i="6" s="1"/>
  <c r="J24" i="4"/>
  <c r="C38" i="6" s="1"/>
  <c r="E38" i="6" s="1"/>
  <c r="J23" i="4"/>
  <c r="C37" i="6" s="1"/>
  <c r="E37" i="6" s="1"/>
  <c r="E58" i="6"/>
  <c r="J16" i="4"/>
  <c r="C30" i="6" s="1"/>
  <c r="E30" i="6" s="1"/>
  <c r="C54" i="5"/>
  <c r="B8" i="6" s="1"/>
  <c r="C15" i="4"/>
  <c r="D16" i="4"/>
  <c r="C23" i="4"/>
  <c r="D24" i="4"/>
  <c r="C31" i="4"/>
  <c r="J31" i="4" s="1"/>
  <c r="C45" i="6" s="1"/>
  <c r="E45" i="6" s="1"/>
  <c r="D32" i="4"/>
  <c r="J32" i="4" s="1"/>
  <c r="C46" i="6" s="1"/>
  <c r="E46" i="6" s="1"/>
  <c r="D54" i="5"/>
  <c r="C56" i="5"/>
  <c r="B12" i="6" s="1"/>
  <c r="D6" i="4"/>
  <c r="D14" i="4"/>
  <c r="C5" i="4"/>
  <c r="J5" i="4" s="1"/>
  <c r="C19" i="6" s="1"/>
  <c r="E19" i="6" s="1"/>
  <c r="C13" i="4"/>
  <c r="J13" i="4" s="1"/>
  <c r="C27" i="6" s="1"/>
  <c r="E27" i="6" s="1"/>
  <c r="C21" i="4"/>
  <c r="J21" i="4" s="1"/>
  <c r="C35" i="6" s="1"/>
  <c r="E35" i="6" s="1"/>
  <c r="D22" i="4"/>
  <c r="J22" i="4" s="1"/>
  <c r="C36" i="6" s="1"/>
  <c r="E36" i="6" s="1"/>
  <c r="C29" i="4"/>
  <c r="J29" i="4" s="1"/>
  <c r="C43" i="6" s="1"/>
  <c r="E43" i="6" s="1"/>
  <c r="D30" i="4"/>
  <c r="J30" i="4" s="1"/>
  <c r="C44" i="6" s="1"/>
  <c r="E44" i="6" s="1"/>
  <c r="H63" i="4"/>
  <c r="C4" i="4"/>
  <c r="D5" i="4"/>
  <c r="D54" i="4" s="1"/>
  <c r="C12" i="4"/>
  <c r="J12" i="4" s="1"/>
  <c r="C26" i="6" s="1"/>
  <c r="E26" i="6" s="1"/>
  <c r="D13" i="4"/>
  <c r="C20" i="4"/>
  <c r="J20" i="4" s="1"/>
  <c r="C34" i="6" s="1"/>
  <c r="E34" i="6" s="1"/>
  <c r="D21" i="4"/>
  <c r="C28" i="4"/>
  <c r="J28" i="4" s="1"/>
  <c r="C42" i="6" s="1"/>
  <c r="E42" i="6" s="1"/>
  <c r="D29" i="4"/>
  <c r="B5" i="6"/>
  <c r="C10" i="4"/>
  <c r="J10" i="4" s="1"/>
  <c r="C24" i="6" s="1"/>
  <c r="E24" i="6" s="1"/>
  <c r="D11" i="4"/>
  <c r="J11" i="4" s="1"/>
  <c r="C25" i="6" s="1"/>
  <c r="E25" i="6" s="1"/>
  <c r="C18" i="4"/>
  <c r="J18" i="4" s="1"/>
  <c r="C32" i="6" s="1"/>
  <c r="E32" i="6" s="1"/>
  <c r="D19" i="4"/>
  <c r="J19" i="4" s="1"/>
  <c r="C33" i="6" s="1"/>
  <c r="E33" i="6" s="1"/>
  <c r="C26" i="4"/>
  <c r="J26" i="4" s="1"/>
  <c r="C40" i="6" s="1"/>
  <c r="E40" i="6" s="1"/>
  <c r="D27" i="4"/>
  <c r="J27" i="4" s="1"/>
  <c r="C41" i="6" s="1"/>
  <c r="E41" i="6" s="1"/>
  <c r="C9" i="4"/>
  <c r="J9" i="4" s="1"/>
  <c r="C23" i="6" s="1"/>
  <c r="E23" i="6" s="1"/>
  <c r="D10" i="4"/>
  <c r="C17" i="4"/>
  <c r="J17" i="4" s="1"/>
  <c r="C31" i="6" s="1"/>
  <c r="E31" i="6" s="1"/>
  <c r="D18" i="4"/>
  <c r="C25" i="4"/>
  <c r="J25" i="4" s="1"/>
  <c r="C39" i="6" s="1"/>
  <c r="E39" i="6" s="1"/>
  <c r="D26" i="4"/>
  <c r="J4" i="4" l="1"/>
  <c r="C54" i="4"/>
  <c r="J54" i="4" l="1"/>
  <c r="C18" i="6"/>
  <c r="E18" i="6" s="1"/>
  <c r="J56" i="4"/>
  <c r="B11" i="6" l="1"/>
  <c r="B13" i="6"/>
  <c r="B9" i="6"/>
  <c r="B7" i="6"/>
  <c r="D28" i="1" l="1"/>
  <c r="A28" i="1"/>
  <c r="C22" i="1"/>
  <c r="G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Hemtag</author>
  </authors>
  <commentList>
    <comment ref="B7" authorId="0" shapeId="0" xr:uid="{00000000-0006-0000-0000-000001000000}">
      <text>
        <r>
          <rPr>
            <sz val="11"/>
            <color theme="1"/>
            <rFont val="Calibri"/>
            <family val="2"/>
            <charset val="1"/>
          </rPr>
          <t>Justera efter den anläggning ni planerar. Några typiska exempel:
• Lokala/familjebad: 3 000–4 500 m²
• Medelstor simhall: 4 500–6 500 m²
• Större anläggning med upplevelsedel: 6 500–10 000 m²
Standardvärde: 5 000 m² (medelstor simhall).</t>
        </r>
      </text>
    </comment>
    <comment ref="E7" authorId="1" shapeId="0" xr:uid="{00000000-0006-0000-0000-000002000000}">
      <text>
        <r>
          <rPr>
            <sz val="11"/>
            <color theme="1"/>
            <rFont val="Calibri"/>
            <family val="2"/>
            <charset val="1"/>
          </rPr>
          <t>Fältet är låst. Modellen räknar med 30 års rak amortering, ett modellantagande för direkt jämförbarhet med koncessionsavtalets längd. Lån vid kommunalt ägande via Kommuninvest har typiskt 25–40 års amortering.</t>
        </r>
      </text>
    </comment>
    <comment ref="B8" authorId="1" shapeId="0" xr:uid="{00000000-0006-0000-0000-000003000000}">
      <text>
        <r>
          <rPr>
            <sz val="11"/>
            <color theme="1"/>
            <rFont val="Calibri"/>
            <family val="2"/>
            <charset val="1"/>
          </rPr>
          <t>Justera efter regional nivå och anläggningens storlek. Standardvärde 52,2 kkr/m² gäller en mellanstor anläggning (5 000 m² BTA) i 2026 års prisläge.
Av de tretton entreprenadkontrakten 2014–2025 (Flik 2 Benchmark kommunalt ägande) ligger värdena BKI-justerade till 2026 i spannet 48–78 kkr/m². Större anläggningar har lägre kostnad per m² genom skalfördelar:
• Större (&gt;7 500 m²): median 50 kkr/m²
• Mellanstora (5 000–7 500 m²): median 56 kkr/m²
• Mindre (&lt;5 000 m²): median 65 kkr/m²
Modellens 52,2 ligger i nedre delen av spannet för mellanstora. Justera uppåt för Stockholm, Uppsala/Mälardalen, projekt med stor upplevelsedel eller mindre anläggningar. Se Flik 7 sektion 3.1 för full härledning.</t>
        </r>
      </text>
    </comment>
    <comment ref="E8" authorId="1" shapeId="0" xr:uid="{00000000-0006-0000-0000-000004000000}">
      <text>
        <r>
          <rPr>
            <sz val="11"/>
            <color theme="1"/>
            <rFont val="Calibri"/>
            <family val="2"/>
            <charset val="1"/>
          </rPr>
          <t>Justera om räntenivån är annorlunda. Standardvärde 3,0 procent är ett antagande om snittnivå över analysperioden (30 år).
Räntan över 30 år är osäker. Riksbankens styrränta har under de senaste tio åren rört sig från −0,50 procent till 4,00 procent och tillbaka till 1,75 procent. Kommunsektorns aktuella ränta 2,4 procent (Kommuninvest 2025) ligger nu i nedre delen av detta intervall. 3 procent fångar sannolikheten att räntan stiger någon gång under 30-årsperioden.
Justera ned till 2,4 för aktuell räntenivå (gynnar kommunalt ägande). Justera upp till 4 för högre långsiktig räntenivå (gynnar extern aktör). Se Flik 7 sektion 3.2 för full motivering.</t>
        </r>
      </text>
    </comment>
    <comment ref="B9" authorId="1" shapeId="0" xr:uid="{00000000-0006-0000-0000-000005000000}">
      <text>
        <r>
          <rPr>
            <sz val="11"/>
            <color theme="1"/>
            <rFont val="Calibri"/>
            <family val="2"/>
            <charset val="1"/>
          </rPr>
          <t>Justera efter projektets förutsättningar. Standardvärde 15 procent omfattar projektering, projektledning, bygglov, försäkringar, mark- och anslutningsavgifter, sanering, utemiljö, indexering och reserv för oförutsett.
Uppsala-rapporten (UKAF-2022-0004) använder 10 procent och flaggar själv att marknadspraxis ligger på 15–20 procent. Modellens 15 procent ligger i nedre delen av det spannet. Se Flik 7 sektion 3.1 för full härledning.</t>
        </r>
      </text>
    </comment>
    <comment ref="E9" authorId="1" shapeId="0" xr:uid="{00000000-0006-0000-0000-000006000000}">
      <text>
        <r>
          <rPr>
            <sz val="11"/>
            <color theme="1"/>
            <rFont val="Calibri"/>
            <family val="2"/>
            <charset val="1"/>
          </rPr>
          <t>Justera om räntenivån är annorlunda. Räntan används för nuvärdesberäkning, alternativkostnaden för kapital över analysperioden. Standardvärde 3,0 procent.
Kommunsektorns aktuella ränta 2,4 procent (Kommuninvest 2025) ligger nu i nedre delen av det intervall som Riksbankens styrränta rört sig inom de senaste tio åren (−0,50 till 4,00 procent). Modellens 3 procent är ett snittantagande över analysperioden, något över aktuell nivå.
Sätts normalt lika med internräntan (E8) för intern konsekvens. Se Flik 7 sektion 3.2 för full motivering.</t>
        </r>
      </text>
    </comment>
    <comment ref="B10" authorId="1" shapeId="0" xr:uid="{00000000-0006-0000-0000-000007000000}">
      <text>
        <r>
          <rPr>
            <sz val="11"/>
            <color theme="1"/>
            <rFont val="Calibri"/>
            <family val="2"/>
            <charset val="1"/>
          </rPr>
          <t>Justera efter projektets förutsättningar. Standardvärde 0 %.
Hemtags kartläggning av 48 svenska kommunala badhusprojekt 2016–2026 visar en medianavvikelse på 10 procent mellan beslutsbelopp och slutkostnad, även i partneringprojekt 8 procent.</t>
        </r>
      </text>
    </comment>
    <comment ref="E10" authorId="1" shapeId="0" xr:uid="{00000000-0006-0000-0000-000008000000}">
      <text>
        <r>
          <rPr>
            <sz val="11"/>
            <color theme="1"/>
            <rFont val="Calibri"/>
            <family val="2"/>
            <charset val="1"/>
          </rPr>
          <t>Standardvärde 30 år, vilket motsvarar koncessionsavtalets längd. Kan justeras 30–50 år för att testa andra scenarier: exempelvis en längre tidshorisont för att inkludera del- eller helrenoveringar och eventuella förlängningar. 50 år motsvarar anläggningens livscykel innan totalrenovering eller nybyggnation.</t>
        </r>
      </text>
    </comment>
    <comment ref="E11" authorId="0" shapeId="0" xr:uid="{00000000-0006-0000-0000-000009000000}">
      <text>
        <r>
          <rPr>
            <sz val="11"/>
            <color theme="1"/>
            <rFont val="Calibri"/>
            <family val="2"/>
            <charset val="1"/>
          </rPr>
          <t>Justera om inflationsantagandet är annorlunda. Styr uppräkningen av drift, underhåll, operatörsnetto och koncessionsersättning över hela analysperioden. Standardvärde 2,0 % motsvarar Riksbankens mål.</t>
        </r>
      </text>
    </comment>
    <comment ref="B14" authorId="1" shapeId="0" xr:uid="{00000000-0006-0000-0000-00000A000000}">
      <text>
        <r>
          <rPr>
            <sz val="11"/>
            <color theme="1"/>
            <rFont val="Calibri"/>
            <family val="2"/>
            <charset val="1"/>
          </rPr>
          <t>Justera efter anläggningens komplexitet. Inkluderar fastighetsdrift och övriga kostnader: energi, VA, kemikalier, tillsyn, felavhjälpande underhåll, förbrukningsmaterial. Verksamhetsdrift (personal) ingår inte. Hanteras av operatör.
Standardvärde 950 kr/m²/år är mittenvärdet i Uppsala-rapportens uppräknade spann 920–970 kr/m² (Uppsala 2021 fast.drift 600 + övriga 150 = 750 kr/m², uppräknat till 2026). Se Flik 7 sektion 3.3 för full härledning.</t>
        </r>
      </text>
    </comment>
    <comment ref="E14" authorId="1" shapeId="0" xr:uid="{00000000-0006-0000-0000-00000B000000}">
      <text>
        <r>
          <rPr>
            <sz val="11"/>
            <color theme="1"/>
            <rFont val="Calibri"/>
            <family val="2"/>
            <charset val="1"/>
          </rPr>
          <t>Mata in den årliga koncessionsersättning som kommunen överväger för år 1, i MSEK. Modellen räknar upp värdet med 2 procent per år. Värdet jämförs med kommunalt ägande i nuvärde. Testa olika nivåer (brytpunkt, begränsad eller full riskpremie) eller mata in en konkret offert.</t>
        </r>
      </text>
    </comment>
    <comment ref="B15" authorId="1" shapeId="0" xr:uid="{00000000-0006-0000-0000-00000C000000}">
      <text>
        <r>
          <rPr>
            <sz val="11"/>
            <color theme="1"/>
            <rFont val="Calibri"/>
            <family val="2"/>
            <charset val="1"/>
          </rPr>
          <t>Justera efter komponentlivslängd och underhållsstrategi. Standardvärde 250 kr/m²/år som 30-årssnitt.
Uppsala-rapporten (UKAF-2022-0004) anger 200 kr/m² i 2021 års prisläge för planerat underhåll. Uppräknat till 2026 ger 246–260 kr/m². Modellens värde ligger i mitten av detta spann. Se Flik 7 sektion 3.3 för full härledning.</t>
        </r>
      </text>
    </comment>
    <comment ref="E15" authorId="1" shapeId="0" xr:uid="{00000000-0006-0000-0000-00000D000000}">
      <text>
        <r>
          <rPr>
            <sz val="11"/>
            <color theme="1"/>
            <rFont val="Calibri"/>
            <family val="2"/>
            <charset val="1"/>
          </rPr>
          <t>Ersättningsnivå för år 31 och framåt om koncessionsavtalet förlängs, i procent av ursprungsersättningen. Standardvärde 50 procent. Kapitaldelen är avbetald, kvar är drift, underhåll och risköverföring.</t>
        </r>
      </text>
    </comment>
    <comment ref="B16" authorId="1" shapeId="0" xr:uid="{00000000-0006-0000-0000-00000E000000}">
      <text>
        <r>
          <rPr>
            <sz val="11"/>
            <color theme="1"/>
            <rFont val="Calibri"/>
            <family val="2"/>
            <charset val="1"/>
          </rPr>
          <t>Andel av nybyggnadskostnaden som reinvesteras vid år X (B17). Engångskostnad.
Ett rimligt antagande är 20 procent. Att räkna med en reinvesteringspost är rimligt även om empirin inte räcker för att exakt fastställa nivå eller tidpunkt. Utfallen varierar kraftigt mellan anläggningar.
Vid förlängd analys till 50 år: höj till 40–50 procent och flytta B17 till år 30–40 (se B17). Då sträcker sig analysperioden längre in i anläggningens åldrande.
Se Flik 7 sektion 4 för full motivering.</t>
        </r>
      </text>
    </comment>
    <comment ref="B17" authorId="1" shapeId="0" xr:uid="{00000000-0006-0000-0000-00000F000000}">
      <text>
        <r>
          <rPr>
            <sz val="11"/>
            <color theme="1"/>
            <rFont val="Calibri"/>
            <family val="2"/>
            <charset val="1"/>
          </rPr>
          <t>Tidpunkt för reinvesteringen. Ett rimligt antagande är år 25, men spridningen är stor. Arena Grosvad behövde större ingrepp efter 6 år, andra anläggningar har fungerat 40+ år utan dokumenterad åtgärd.
Mindre åtgärder sker löpande inom den årliga driftsbudgeten: kalibrering under de första åren, mindre händelser år 10–15. Men vid en viss punkt räcker inte längre avsättningarna för planerat underhåll — det är den tidpunkten verktyget modellerar.
När den faktiskt inträffar beror på:
• Underhållsnivå: proaktivt underhåll förlänger livslängden, eftersatt underhåll kortar den
• Klimatskalets kondition: fukt, kondens och bristande täthet accelererar nedbrytning
• Temperaturhistorik: högre bassäng- och rumstemperatur över tid ökar slitaget
• Belastning: besökarantal och klorbelastning
Vid 50-årshorisont: flytta värdet till år 30–40, kombinerat med högre B16 (40–50 procent). Se Flik 7 för full motivering.</t>
        </r>
      </text>
    </comment>
    <comment ref="B18" authorId="1" shapeId="0" xr:uid="{00000000-0006-0000-0000-000010000000}">
      <text>
        <r>
          <rPr>
            <sz val="11"/>
            <color theme="1"/>
            <rFont val="Calibri"/>
            <family val="2"/>
            <charset val="1"/>
          </rPr>
          <t>Operatörens hyresbetalningsförmåga: vad operatören kan betala kommunen efter att ha täckt sina egna verksamhetskostnader. Ett negativt värde innebär att kommunen subventionerar verksamheten. Standardvärde 0 — verksamhetens intäkter och kostnader balanserar varandra.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19" authorId="0" shapeId="0" xr:uid="{00000000-0006-0000-0100-000001000000}">
      <text>
        <r>
          <rPr>
            <sz val="11"/>
            <color theme="1"/>
            <rFont val="Calibri"/>
            <family val="2"/>
            <charset val="1"/>
          </rPr>
          <t>Framräknat värde: SCB BKI 2025 (1857,8) × (1 + 1,3 %). 1,3 procent är den genomsnittliga årliga förändringen över de senaste 24 månaderna (2024–2025). Värdet uppdateras manuellt när SCB publicerar 2026 års index.</t>
        </r>
      </text>
    </comment>
    <comment ref="I24" authorId="0" shapeId="0" xr:uid="{00000000-0006-0000-0100-000002000000}">
      <text>
        <r>
          <rPr>
            <sz val="11"/>
            <color theme="1"/>
            <rFont val="Calibri"/>
            <family val="2"/>
            <charset val="1"/>
          </rPr>
          <t>Entreprenadens nominella kontraktsvärde uppräknat till 2026 års prisläge med SCB:s byggkostnadsindex för flerbostadshus (1968 = 100). Formel: nom_kontrakt × (BKI_2026 / BKI_kontraktsår).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 authorId="0" shapeId="0" xr:uid="{00000000-0006-0000-0400-000001000000}">
      <text>
        <r>
          <rPr>
            <sz val="11"/>
            <color theme="1"/>
            <rFont val="Calibri"/>
            <family val="2"/>
            <charset val="1"/>
          </rPr>
          <t>Intern hjälpkolumn för break-even-beräkningen i Flik 1 (Sammanfattning). Räknar koncessionsersättning per år vid odiskonterat värde. Diskontering sker i D56. Redigeras inte.</t>
        </r>
      </text>
    </comment>
  </commentList>
</comments>
</file>

<file path=xl/sharedStrings.xml><?xml version="1.0" encoding="utf-8"?>
<sst xmlns="http://schemas.openxmlformats.org/spreadsheetml/2006/main" count="338" uniqueCount="300">
  <si>
    <t>BADHUSETS EKONOMI ÖVER LIVSCYKELN</t>
  </si>
  <si>
    <t>Jämför kommunalt ägande och extern aktör i nuvärde över 30 år. Antagandefälten är justerbara — alla beräkningar uppdateras automatiskt. Se Källor och metod (Flik 7) för dokumentation.</t>
  </si>
  <si>
    <t>ANTAGANDEN</t>
  </si>
  <si>
    <t>ANLÄGGNING &amp; ENTREPRENAD</t>
  </si>
  <si>
    <t>KAPITAL &amp; FINANSIERING</t>
  </si>
  <si>
    <t>Yta BTA</t>
  </si>
  <si>
    <t>m²</t>
  </si>
  <si>
    <t>Amorteringstid</t>
  </si>
  <si>
    <t>år</t>
  </si>
  <si>
    <t>Entreprenad kommunalt ägande</t>
  </si>
  <si>
    <t>kkr/m²</t>
  </si>
  <si>
    <t>Internränta</t>
  </si>
  <si>
    <t>Byggherrekostnader</t>
  </si>
  <si>
    <t>Diskonteringsränta</t>
  </si>
  <si>
    <t>Fördyring under byggfas</t>
  </si>
  <si>
    <t>Analysperiod</t>
  </si>
  <si>
    <t>KPI / inflation</t>
  </si>
  <si>
    <t>DRIFT &amp; UNDERHÅLL</t>
  </si>
  <si>
    <t>VERKSAMHET &amp; ERSÄTTNING</t>
  </si>
  <si>
    <t>Löpande drift</t>
  </si>
  <si>
    <t>Koncessionsersättning år 1</t>
  </si>
  <si>
    <t>MSEK/år</t>
  </si>
  <si>
    <t>Planerat underhåll (30-årssnitt)</t>
  </si>
  <si>
    <t>kr/m²/år</t>
  </si>
  <si>
    <t>Förlängd ersättning (% år 31+)</t>
  </si>
  <si>
    <t>Reinvestering år X (% av invest.)</t>
  </si>
  <si>
    <t>År för reinvestering</t>
  </si>
  <si>
    <t>Hyra/bidrag verksamhetsoperatör</t>
  </si>
  <si>
    <t>INVESTERING OCH ÅRSKOSTNAD</t>
  </si>
  <si>
    <t>INVESTERING (KOMMUNALT ÄGANDE)</t>
  </si>
  <si>
    <t>NUVÄRDE AV ÅRSKOSTNADER — KOMMUNALT ÄGANDE</t>
  </si>
  <si>
    <t>NUVÄRDE AV ÅRSKOSTNADER — EXTERN AKTÖR</t>
  </si>
  <si>
    <t>BESPARING/FÖRDYRING MED EXTERN AKTÖR (MSEK)</t>
  </si>
  <si>
    <t>MSEK</t>
  </si>
  <si>
    <t>Marknadsmässig prissättning: Extern aktör bär DRIFTSFASENS risker (reinvestering + ränta + operationellt) under 30 år — värt 10–20 % av investeringen i nuvärde. Byggfasens fördyring hanteras separat via B11. Se Flik 7 för motivering.</t>
  </si>
  <si>
    <t>RIMLIG KONCESSIONSERSÄTTNING</t>
  </si>
  <si>
    <t>Brytpunkt (utan riskpremie)</t>
  </si>
  <si>
    <t>Med begränsad riskpremie (+10%)</t>
  </si>
  <si>
    <t>Med full riskpremie (+20%)</t>
  </si>
  <si>
    <t>Koncessionsersättning:</t>
  </si>
  <si>
    <t>Brytpunkten är där alternativen kostar lika mycket i nuvärde. Tilläggsnivåerna speglar värderad risköverföring.</t>
  </si>
  <si>
    <t>ÅRSKOSTNAD 2026–2070 (MSEK/år, löpande priser)</t>
  </si>
  <si>
    <t>BENCHMARK KOMMUNALT ÄGANDE — entreprenadkontrakt 2014–2025 i 2026 års prisläge</t>
  </si>
  <si>
    <t>Tretton entreprenadkontrakt från svenska kommunala badhusprojekt med dokumenterad bruttoarea (BTA), kontraktssumma och tillförlitlighet Nivå 1 enligt Hemtags kartläggning av 48 projekt 2016–2026. Värdena är primärdata från entreprenörens pressmeddelanden eller kommunala beslut. Normaliserade till 2026 års prisläge med SCB:s byggkostnadsindex flerbostadshus.</t>
  </si>
  <si>
    <t>SCB BYGGKOSTNADSINDEX FLERBOSTADSHUS (1968 = 100)</t>
  </si>
  <si>
    <t>Källa: statistikdatabasen.scb.se/goto/sv/ssd/FPIBOAr. 2026 extrapolerat (+1,3 % från 2025).</t>
  </si>
  <si>
    <t>År</t>
  </si>
  <si>
    <t>BKI (1968=100)</t>
  </si>
  <si>
    <t>ENTREPRENADKONTRAKT — kalibrerar entreprenadkostnad per m² (B8) på Flik 1</t>
  </si>
  <si>
    <t>Kontraktsvärden inkluderar olika scope. Totalentreprenad i partnering inkluderar projektering via fas 1 (projektering) och fas 2 (produktion). Utförandeentreprenad omfattar endast själva bygget — projekteringen är separat upphandlad och ligger utanför kontraktsvärdet. För strikt jämförelse mot en koncessionsoffert som är allt inkluderat bör utförandeentreprenader få 5–10 procent påslag. Kolumnen 'Total m. 15 % kkr/m²' inkluderar byggherrekostnad enligt B9 (förinställt 15 %).</t>
  </si>
  <si>
    <t>Anläggning</t>
  </si>
  <si>
    <t>Entreprenör</t>
  </si>
  <si>
    <t>BTA (m²)</t>
  </si>
  <si>
    <t>Kontrakt (mkr)</t>
  </si>
  <si>
    <t>Typ</t>
  </si>
  <si>
    <t>Ent. nom. kkr/m²</t>
  </si>
  <si>
    <t>BKI år</t>
  </si>
  <si>
    <t>Ent. 2026 kkr/m²</t>
  </si>
  <si>
    <t>Total m. 15 % kkr/m²</t>
  </si>
  <si>
    <t>Munktellbadet (Eskilstuna)</t>
  </si>
  <si>
    <t>NCC</t>
  </si>
  <si>
    <t>Totalentreprenad i partnering</t>
  </si>
  <si>
    <t>Pepparrotsbadet (Enköping)</t>
  </si>
  <si>
    <t>Cobab</t>
  </si>
  <si>
    <t>Täby simhall</t>
  </si>
  <si>
    <t>Utförandeentreprenad (bara huset)</t>
  </si>
  <si>
    <t>Ekerö simhall (Träkvista)</t>
  </si>
  <si>
    <t>Lidingö Dalénum</t>
  </si>
  <si>
    <t>Nacka Näckenbadet</t>
  </si>
  <si>
    <t>Peab</t>
  </si>
  <si>
    <t>Utförandeentreprenad + del total</t>
  </si>
  <si>
    <t>Karlskrona Rödeby</t>
  </si>
  <si>
    <t>Burlövsbadet (Burlöv)</t>
  </si>
  <si>
    <t>Timrå simhall</t>
  </si>
  <si>
    <t>Harjagersbadet (Kävlinge)</t>
  </si>
  <si>
    <t>Forshaga Klarälvsbadet (Deje)</t>
  </si>
  <si>
    <t>Serneke</t>
  </si>
  <si>
    <t>Spångbergshallen (Filipstad)</t>
  </si>
  <si>
    <t>Hässleholm Österåsbadet</t>
  </si>
  <si>
    <t>— Min egen kalkyl —</t>
  </si>
  <si>
    <t>—</t>
  </si>
  <si>
    <t>Förinställda värden</t>
  </si>
  <si>
    <t>Källor (entreprenadkontrakt):</t>
  </si>
  <si>
    <t>• Munktellbadet: byggkoll.byggtjanst.se 2016, NCC</t>
  </si>
  <si>
    <t>• Pepparrotsbadet: eposten.se 2018 byggkostnad 350 mkr</t>
  </si>
  <si>
    <t>• Täby simhall: byggvarlden.se 2021 "entreprenaden 450 mkr"</t>
  </si>
  <si>
    <t>• Ekerö simhall: cobab.se projektsida, mitti.se 2022 KF-prognos</t>
  </si>
  <si>
    <t>• Lidingö Dalénum: lidingo.se, k-m.se</t>
  </si>
  <si>
    <t>• Nacka Näckenbadet: peab.se pressmeddelande feb 2023, k-m.se BTA</t>
  </si>
  <si>
    <t>• Karlskrona Rödeby: nordicconstruction.se okt 2025</t>
  </si>
  <si>
    <t>• Burlövsbadet (Burlöv): NCC pressmeddelande oktober 2019; Burlövs årsredovisning 2022; Byggfakta DOCU</t>
  </si>
  <si>
    <t>• Timrå simhall: NCC pressmeddelande och projektreferens; Timrå årsredovisning 2022; KF Timrå 2019-12-09</t>
  </si>
  <si>
    <t>• Harjagersbadet (Kävlinge): Peab pressmeddelande november 2020 (292,5 mkr); KKL Fastigheter ÅR 2023</t>
  </si>
  <si>
    <t>• Forshaga Klarälvsbadet: Sernekes pressmeddelande 2021-12-17 (ordervärde 137 mkr); KF Forshaga 2021-11-30</t>
  </si>
  <si>
    <t>• Spångbergshallen (Filipstad): NCC entreprenadkontrakt Q4 2021; KF Filipstad 2021-10-14; Filipstads ÅR 2022–2024</t>
  </si>
  <si>
    <t>• Hässleholm Österåsbadet: Peab pressmeddelande 2023-09-12 (entreprenadarbeten 376,37 mkr); KF Hässleholm 2023-08-28</t>
  </si>
  <si>
    <t>Regionala entreprenadnivåer — vägledande spann för kr per m² BTA</t>
  </si>
  <si>
    <t>Vägledande prisspann för entreprenadkostnaden per kvadratmeter bruttoarea för en kommunal simhall i 2026 års prisläge. Spannen är kalibrerade mot tretton entreprenadkontrakt 2014–2025 (se Flik 2) och kompletterande projektreferenser från Hemtags kartläggning av 48 svenska badhusprojekt 2016–2026. Index 1,00 motsvarar Stockholmsregionen. Spannen avser entreprenaddelen — byggherrekostnader (Flik 1, cell B9) och anbudsläge tillkommer separat.</t>
  </si>
  <si>
    <t>Regionalt index — tusen kronor per kvadratmeter bruttoarea i 2026 års prisläge</t>
  </si>
  <si>
    <t>Region</t>
  </si>
  <si>
    <t>Index</t>
  </si>
  <si>
    <t>Medelstor anläggning (5 000–8 000 m²)</t>
  </si>
  <si>
    <t>Mindre eller utökad anläggning (under 4 500 eller över 8 000 m²)</t>
  </si>
  <si>
    <t>Empirisk bas från Flik 2</t>
  </si>
  <si>
    <t>Kompletterande referenser</t>
  </si>
  <si>
    <t>Stockholmsregionen</t>
  </si>
  <si>
    <t>58–65</t>
  </si>
  <si>
    <t>60–75</t>
  </si>
  <si>
    <t>Fyra projekt: 58–78 (median 62). Täby 58, Lidingö 59, Ekerö 65, Näckenbadet 78 (osäker bruttoarea)</t>
  </si>
  <si>
    <t>Solna simhall 310 mkr på 5 000 m² motsvarar 62 (ej indexjusterad). Hög konkurrens om byggkapacitet, högre lönenivåer än övriga regioner.</t>
  </si>
  <si>
    <t>Göteborg, Uppsala och övriga Mälardalen</t>
  </si>
  <si>
    <t>55–62</t>
  </si>
  <si>
    <t>57–65</t>
  </si>
  <si>
    <t>Två projekt: 50–51 (median 50). Munktellbadet 50 från 2014, Pepparrotsbadet 51 från 2019</t>
  </si>
  <si>
    <t>Åbybadet Mölndal 2023 (Vestia) 479 mkr. Stark byggmarknad men lägre indirekta kostnader än Stockholm.</t>
  </si>
  <si>
    <t>Öresund och Skåne</t>
  </si>
  <si>
    <t>52–59</t>
  </si>
  <si>
    <t>55–63</t>
  </si>
  <si>
    <t>Tre projekt: 48–56 (median 52). Burlövsbadet 48, Hässleholm Österåsbadet 52, Harjagersbadet Kävlinge 56</t>
  </si>
  <si>
    <t>Kristianstads badrike 2022 (Peab) 510 mkr på 14 000 m² motsvarar 36 (stor anläggning, tydlig skalfördel).</t>
  </si>
  <si>
    <t>Större regionala städer</t>
  </si>
  <si>
    <t>49–56</t>
  </si>
  <si>
    <t>52–60</t>
  </si>
  <si>
    <t>Direkta observationer saknas i Flik 2</t>
  </si>
  <si>
    <t>Lugnet Falun 2023 (NCC) 423 mkr på ungefär 8 600 m² motsvarar 49. Avser Linköping, Örebro, Västerås och Jönköping.</t>
  </si>
  <si>
    <t>Mindre kommuner och Norrland</t>
  </si>
  <si>
    <t>46–53</t>
  </si>
  <si>
    <t>50–58</t>
  </si>
  <si>
    <t>Fyra projekt: 49–66 (median 56). Forshaga 49, Timrå 56, Karlskrona Rödeby 58, Spångbergshallen Filipstad 66</t>
  </si>
  <si>
    <t>Hertsöbadet Luleå 2022 (NCC) 185 mkr på ungefär 3 500–4 000 m². Tunnare underentreprenörsmarknad pressar kvadratmeterpriset.</t>
  </si>
  <si>
    <t>Specialanläggningar — äventyrsbad, spa eller befintlig teknik som ska behållas — lägger 25–40 procent på utökat-intervallet. Ren motionsanläggning utan upplevelsedel: minus 5–10 procent.</t>
  </si>
  <si>
    <t>Användning i modellen</t>
  </si>
  <si>
    <t>Steg ett: Identifiera region och anläggningsstorlek. Välj sedan i spannet för medelstor anläggning eller mindre eller utökad anläggning beroende på programinnehåll.</t>
  </si>
  <si>
    <t>Steg två: Välj värde inom spannet. Lutar mot övre delen vid hög konjunktur, besvärlig grundläggning eller specialprogram. Lutar mot nedre vid stabil marknad och konventionellt program.</t>
  </si>
  <si>
    <t>Steg tre: Fyll i värdet i cell B8 på Flik 1. Byggherrekostnaden läggs till separat via cell B9 (förinställt 15 procent).</t>
  </si>
  <si>
    <t>Verifiera mot Flik 2 — där finns tretton entreprenadkontrakt med indexjusterade kvadratmeterpriser att jämföra mot.</t>
  </si>
  <si>
    <t>Empirisk bas och förbehåll</t>
  </si>
  <si>
    <t>Tretton projekt 2014–2025 är indexjusterade till 2026 års prisläge med Statistiska centralbyråns byggkostnadsindex för flerbostadshus (indextabellen finns i Flik 2). Kompletterande referenser är inte indexjusterade utan anges med projektets år.</t>
  </si>
  <si>
    <t>Mälardalen-datapunkterna är båda från större anläggningar (över 9 000 m²) och fångar därför skalfördelar — verklig nivå för en medelstor anläggning i regionen ligger sannolikt högre. Stockholms-spannet 58–78 inkluderar Näckenbadets 78 som sannolikt är påverkat av en bruttoareauppgift som anger programmerad yta exklusive teknikutrymmen — verkligt värde ligger närmare 60–65.</t>
  </si>
  <si>
    <t>Storleksberoendet är ofta lika stort som det geografiska. Stora anläggningar (över 7 000 m², sex projekt i Flik 2) har en median på 51. Mindre anläggningar (4 500 m² eller mindre, fem projekt) har en median på 65. Det är därför tabellen delas i en kolumn för medelstora och en för mindre eller utökade anläggningar.</t>
  </si>
  <si>
    <t>Siffrorna är vägledande och ska inte ersätta marknadsundersökning inför en konkret upphandling. Specifik tomt, fjärrvärmeavtal, grundläggning och anbudsmarknad vid tidpunkten påverkar utfallet markant. Avvikelser om 10–15 procent från spannet är normalt i enskilda upphandlingar.</t>
  </si>
  <si>
    <t>KOMMUNALT ÄGANDE — Årlig kostnad upp till 50 år</t>
  </si>
  <si>
    <t>Årsvis kassaflödeskalkyl. Belopp i MSEK. Värden räknas från Flik 1. Sammanfattning. Hjälpsektion B62–B63 längst ned.</t>
  </si>
  <si>
    <t>Kalender</t>
  </si>
  <si>
    <t>Amortering</t>
  </si>
  <si>
    <t>Räntekostnad</t>
  </si>
  <si>
    <t>Planerat UH</t>
  </si>
  <si>
    <t>Reinv kontant</t>
  </si>
  <si>
    <t>Årets kassaflöde (MSEK)</t>
  </si>
  <si>
    <t>SUMMA</t>
  </si>
  <si>
    <t>Nuvärde</t>
  </si>
  <si>
    <t>HÄRLEDDA VÄRDEN (hjälpsektion — redigeras ej)</t>
  </si>
  <si>
    <t>Total investering kommunalt ägande (MSEK)</t>
  </si>
  <si>
    <t>Första reinvestering (MSEK)</t>
  </si>
  <si>
    <t>EXTERN AKTÖR — Årlig kostnad upp till 50 år</t>
  </si>
  <si>
    <t>Årsvis kassaflödeskalkyl. KPI-indexerad fast ersättning år 1–30, eventuell förlängd ersättning år 31+. Belopp i MSEK.</t>
  </si>
  <si>
    <t>Koncessionsersättning (KPI)</t>
  </si>
  <si>
    <t>Faktor (K=1, för break-even)</t>
  </si>
  <si>
    <t>JÄMFÖRELSE — Kommunalt ägande och extern aktör</t>
  </si>
  <si>
    <t>Årsvis och summerad jämförelse av kassaflöden mellan alternativen. Belopp i MSEK. Värden räknas från Flik 4 och 5.</t>
  </si>
  <si>
    <t>RESULTATÖVERSIKT (MSEK)</t>
  </si>
  <si>
    <t>Metod</t>
  </si>
  <si>
    <t>Belopp</t>
  </si>
  <si>
    <t>Total investering kommunalt ägande</t>
  </si>
  <si>
    <t>Summa i löpande priser — Kommunalt ägande</t>
  </si>
  <si>
    <t>Summa i löpande priser — Extern aktör</t>
  </si>
  <si>
    <t>Besparing eller fördyring i löpande priser med extern aktör</t>
  </si>
  <si>
    <t>Nuvärde — Kommunalt ägande</t>
  </si>
  <si>
    <t>Nuvärde — Extern aktör</t>
  </si>
  <si>
    <t>Besparing eller fördyring nuvärde med extern aktör</t>
  </si>
  <si>
    <t>ÅRSVIS JÄMFÖRELSE (MSEK, löpande priser)</t>
  </si>
  <si>
    <t>Kommunalt ägande</t>
  </si>
  <si>
    <t>Extern aktör</t>
  </si>
  <si>
    <t>Gap (Kommunalt − extern)</t>
  </si>
  <si>
    <t>KÄLLOR OCH METOD</t>
  </si>
  <si>
    <t>Dokumentation av modellen — antaganden, metod, källor.</t>
  </si>
  <si>
    <t>INNEHÅLL</t>
  </si>
  <si>
    <t>1. Modellen i korthet</t>
  </si>
  <si>
    <t>2. Beräkningsmetod</t>
  </si>
  <si>
    <t>3. Parametrarna — standardvärden och motivering</t>
  </si>
  <si>
    <t>4. Reinvestering — varför 20 procent vid år 25</t>
  </si>
  <si>
    <t>5. Riskvärdering — varför 10/20 procent</t>
  </si>
  <si>
    <t>6. Förbehåll och begränsningar</t>
  </si>
  <si>
    <t>7. Källförteckning</t>
  </si>
  <si>
    <t>1. MODELLEN I KORTHET</t>
  </si>
  <si>
    <t>Modellen jämför två alternativ för kommunal badhusinvestering:</t>
  </si>
  <si>
    <t>• Kommunalt ägande: kommunen bygger, äger och finansierar anläggningen. Driften sköts via operatörsavtal.</t>
  </si>
  <si>
    <t>• Livscykelmodell: livscykelleverantören bygger och äger anläggningen i 30 år och anlitar en operatör för driften. Kommunen betalar en fast årlig ersättning (KPI-indexerad). Livscykelleverantören bär all bygg-, drift- och reinvesteringsrisk.</t>
  </si>
  <si>
    <t>Modellen är kassaflödesbaserad — inga avskrivningar, bara faktiska utbetalningar. Alla årliga kassaflöden diskonteras till nuvärde år 0 med 3 procents ränta.</t>
  </si>
  <si>
    <t>Tidshorisont: standardvärde 30 år (koncessionsavtalets längd). Justerbar 30–50 år. Vid 50 år täcker kalkylen reinvesteringen och anläggningens fortsatta drift.</t>
  </si>
  <si>
    <t>Modellen kan användas på två sätt: jämföra kommunalt ägande mot livscykelmodell för en projekterad anläggning, eller pröva budgetutrymmet — utgå från ett årligt belopp och se vilken anläggning det försvarar.</t>
  </si>
  <si>
    <t>2. BERÄKNINGSMETOD</t>
  </si>
  <si>
    <t>2.1 Investering (kommunalt ägande)</t>
  </si>
  <si>
    <t>Investering = Entreprenad × (1 + Fördyring) × (1 + Byggherrekostnader)</t>
  </si>
  <si>
    <t>Entreprenad = Yta BTA × Entreprenadkostnad per m²</t>
  </si>
  <si>
    <t>Byggherrekostnader (15 procent) innefattar projektering, bygglov, anslutningsavgifter, markanläggning, reserv för oförutsett.</t>
  </si>
  <si>
    <t>2.2 Kassaflödesmodell</t>
  </si>
  <si>
    <t>Investeringen år 0 modelleras som ett 30-årigt lån med rak amortering — ett modellantagande för direkt jämförbarhet mot koncessionsavtalets längd.</t>
  </si>
  <si>
    <t>Årligt kassaflöde år 1–30:</t>
  </si>
  <si>
    <t>• Amortering = Investering / 30 (rak)</t>
  </si>
  <si>
    <t>• Räntekostnad = Kvarvarande skuld × internränta (sjunkande)</t>
  </si>
  <si>
    <t>• Driftkostnader (KPI-indexerade)</t>
  </si>
  <si>
    <t>• Reinvestering vid år X (B17) som engångskostnad (uppräknad med KPI)</t>
  </si>
  <si>
    <t>Efter år 30: lånet avbetalt, ingen kapitalkostnad kvar. Driften fortsätter.</t>
  </si>
  <si>
    <t>2.3 Nuvärde och diskontering</t>
  </si>
  <si>
    <t>Årliga kassaflöden diskonteras till år 0 med 3,0 procent.</t>
  </si>
  <si>
    <t>Nuvärde = Σ (Kassaflöde_år_t / (1 + r)^(t−1)) för t = 1 till analysperiod</t>
  </si>
  <si>
    <t>2.4 Likvärdig och försvarbar koncessionsersättning</t>
  </si>
  <si>
    <t>Likvärdig ersättning = den årliga koncessionsersättning som ger kommunen exakt samma nuvärde som vid kommunalt ägande. Beräknas som NV(kommunalt ägande) ÷ annuitetsfaktor. Ren kassaflödesjämförelse, ingen risk värderad.</t>
  </si>
  <si>
    <t>Försvarbar koncessionsersättning = likvärdig ersättning plus värdet av att slippa driftsfasens risker. Värdet ligger i risköverföringen: kommunen kan acceptera en något högre ersättning än den likvärdiga nivån. Underliggande risker beskrivs i sektion 5.</t>
  </si>
  <si>
    <t>Modellen visar tre nivåer på Flik 1:</t>
  </si>
  <si>
    <t>• Nedre. Likvärdig ersättning, ingen risköverföring värderad.</t>
  </si>
  <si>
    <t>• Mitten. Likvärdig ersättning + 10 procent av investeringen i nuvärde, fördelat över avtalstiden. Måttlig värdering.</t>
  </si>
  <si>
    <t>• Övre. Likvärdig ersättning + 20 procent av investeringen i nuvärde, fördelat över avtalstiden. Högre värdering.</t>
  </si>
  <si>
    <t>Byggfasens fördyring hanteras separat i investeringsbeloppet — ingår inte i riskvärderingen.</t>
  </si>
  <si>
    <t>3. PARAMETRARNA — STANDARDVÄRDEN OCH MOTIVERING</t>
  </si>
  <si>
    <t>3.1 Anläggning och entreprenad</t>
  </si>
  <si>
    <t>Yta BTA (B7). Standardvärde 5 000 m² (medelstor simhall). Lokala/familjebad 3 000–4 500 m², större simidrottsanläggning 7 000+ m².</t>
  </si>
  <si>
    <t>Entreprenad kommunalt ägande (B8). Standardvärde 52,2 kkr/m² gäller en mellanstor anläggning (5 000 m² BTA) i 2026 års prisläge. Av de tretton entreprenadkontrakten 2014–2025 (Flik 2 Benchmark kommunalt ägande) ligger värdena BKI-justerade till 2026 i spannet 48–78 kkr/m².</t>
  </si>
  <si>
    <t>Spannet förklaras till stor del av storlek. Större anläggningar har lägre kostnad per m² genom skalfördelar i installationer, mark och projektering:</t>
  </si>
  <si>
    <t>• Större anläggningar (&gt; 7 500 m² BTA): median 50 kkr/m²</t>
  </si>
  <si>
    <t>• Mellanstora (5 000–7 500 m²): median 56 kkr/m²</t>
  </si>
  <si>
    <t>• Mindre (&lt; 5 000 m²): median 65 kkr/m²</t>
  </si>
  <si>
    <t>Modellens 52,2 vid 5 000 m² ligger i nedre delen av spannet för mellanstora och fångar en konservativ kalkyl. Justera uppåt för Stockholm, Uppsala/Mälardalen, projekt med stor upplevelsedel eller mindre anläggningar.</t>
  </si>
  <si>
    <t>Byggherrekostnader (B9). Standardvärde 15 procent omfattar projektering, projektledning, bygglov, försäkringar, mark- och anslutningskostnader, sanering, utemiljö, indexering och reserv för oförutsett. Uppsala-rapporten använder 10 procent och flaggar själv att marknadspraxis ligger på 15–20 procent. Modellens 15 procent ligger i nedre delen av det spannet.</t>
  </si>
  <si>
    <t>Fördyring under byggfas (B10). Standardvärde 0 procent. Hemtags kartläggning av 48 svenska kommunala badhusprojekt 2016–2026 visar en medianavvikelse på 10 procent mellan beslutsbelopp och slutkostnad, även i partneringprojekt 8 procent. I livscykelmodellen bärs fördyringen av livscykelleverantören.</t>
  </si>
  <si>
    <t>3.2 Kapital och finansiering</t>
  </si>
  <si>
    <t>Amorteringstid (E7). Värdet 30 år är låst — ett modellantagande för direkt jämförbarhet mot koncessionsavtalets längd. I praktiken finansierar kommuner stora investeringar genom Kommuninvest med rullande skuldportfölj och varierande kapitalbindning; modellen är en förenkling som fångar totalkostnaden över analysperioden.</t>
  </si>
  <si>
    <t>Internränta och diskonteringsränta (E8 och E9). Standardvärde 3,0 procent på båda. Internränta används för kapitalkostnaden vid kommunalt ägande, diskonteringsränta för nuvärdesberäkning av framtida kassaflöden.</t>
  </si>
  <si>
    <t>Räntan över 30 år är osäker. Riksbankens styrränta har under de senaste tio åren rört sig från −0,50 procent till 4,00 procent och tillbaka till 1,75 procent. Kommunsektorns aktuella ränta 2,4 procent (Kommuninvest 2025) ligger nu i nedre delen av detta intervall. Standardvärdet 3 procent är ett antagande om snittnivå över analysperioden — något över aktuell nivå för att fånga sannolikheten att räntan stiger någon gång under 30-årsperioden. Riksbankens långsiktiga inflationsmål 2 procent kombinerat med en reell ränta på 1 procent ger en teoretisk nominell ränta nära 3 procent på lång sikt.</t>
  </si>
  <si>
    <t>Justera ned till 2,4 procent för en kalkyl baserad på aktuell räntenivå (gynnar kommunalt ägande). Justera upp till 4 procent för en kalkyl med högre långsiktig räntenivå (gynnar livscykelmodell).</t>
  </si>
  <si>
    <t>Analysperiod (E10). Standardvärde 30 år (koncessionsavtalets längd). Justerbar 30–50 år. Vid längre tidshorisont aktiveras E15 (förlängd ersättning för år 31+).</t>
  </si>
  <si>
    <t>KPI / inflation (E11). Standardvärde 2,0 procent (Riksbankens mål). Används på drift, underhåll, hyra/bidrag operatör och koncessionsersättning.</t>
  </si>
  <si>
    <t>3.3 Drift och underhåll</t>
  </si>
  <si>
    <t>Uppsala kommuns rapport "Nya badanläggningar i Uppsala kommun" (UKAF-2022-0004, Martin Englund 2022) är den mest genomarbetade öppet publicerade analysen av drift- och underhållskostnader för svenska kommunala badanläggningar. Rapporten bygger på sju svenska referensanläggningar — Lögarängsbadet Västerås, Täby Simhall, Munktellbadet Eskilstuna, Pepparrotsbadet Enköping, Timrå Simhall, Håbo Simhall och Djupdalsbadet Kumla — kompletterat med utländska referenser.</t>
  </si>
  <si>
    <t>Driftkalkylen delas i fyra poster: fastighetsdrift (energi, VA, kemikalier, fastighetsskötsel), övriga kostnader (förbrukningsmaterial, licenser, marknadsföring), underhåll (löpande + planerat) och verksamhetsdrift (personal). De tre första posterna utgör den fasta driften som livscykelleverantören bär. Personalkostnaden hanteras separat av verksamhetsoperatören och ingår inte i modellens drift- och underhållsbelopp.</t>
  </si>
  <si>
    <t>Uppsala-rapportens belopp anges i 2021 års penningvärde. Inflationen mellan 2021 och 2026 enligt SCB:s KPI är cirka 23 procent, men för badhus där energi väger 35–40 procent av posten och byggmaterial 10–15 procent är en sammanvägd uppräkning på 28–30 procent rimligare. Tabellen visar båda alternativen — exklusive personal.</t>
  </si>
  <si>
    <t>Löpande drift (B14). Standardvärde 950 kr/m²/år omfattar fastighetsdrift och övriga kostnader. Motsvarande poster i Uppsala 2021 (fastighetsdrift 600 + övriga 150 = 750 kr/m²) uppräknat till 2026 års prisläge ger 920–970 kr/m². Modellens värde ligger i mitten av detta spann. Verksamhetsdrift (personal) ingår inte — hanteras av operatör.</t>
  </si>
  <si>
    <t>Planerat underhåll (B15). Standardvärde 250 kr/m²/år som 30-årssnitt. Uppsala 2022 uppräknat till 2026 ger 246–260 kr/m² — modellens värde ligger i mitten av detta spann.</t>
  </si>
  <si>
    <t>Modellens motsvarande total — B14 + B15 = 1 200 kr/m² — ligger i linje med Uppsala-rapportens uppräknade spann 1 170–1 230 kr/m² för drift och underhåll exklusive personal.</t>
  </si>
  <si>
    <t>3.4 Reinvestering</t>
  </si>
  <si>
    <t>Reinvestering år X (B16, B17). Standardvärde 20 procent vid år 25. Motivering i sektion 4.</t>
  </si>
  <si>
    <t>3.5 Verksamhet och ersättning</t>
  </si>
  <si>
    <t>Koncessionsersättning år 1 (E14). Anges av användaren utifrån det aktuella projektet, i MSEK. Modellen räknar upp värdet med 2 procent per år. Värdet jämförs med nuvärdet vid kommunalt ägande.</t>
  </si>
  <si>
    <t>Förlängd ersättning år 31+ (E15). Standardvärde 50 procent — kapitaldelen är avbetald, kvar är drift, underhåll och risköverföring. Används vid 50-årsanalys.</t>
  </si>
  <si>
    <t>Hyra eller bidrag verksamhetsoperatör (B18). Standardvärde 0 — verksamhetens intäkter och kostnader balanserar varandra. Negativt värde innebär att kommunen subventionerar verksamheten.</t>
  </si>
  <si>
    <t>4. REINVESTERING — VARFÖR 20 PROCENT VID ÅR 25</t>
  </si>
  <si>
    <t>Badhus åldras snabbare än andra fastighetstyper — tekniska system, ytskikt och tätskikt slits av fukt, klor och varmt vatten. Att räkna med en reinvesteringspost är därför rimligt även om empirin inte räcker för att exakt fastställa nivå eller tidpunkt. SKR-modellen räknar inte med någon reinvestering alls; för badhus blir det en betydande underskattning. Att utelämna posten ger en orealistisk jämförelse.</t>
  </si>
  <si>
    <t>Modellens förslag är 20 procent av nybyggnadskostnaden vid år 25 — en bästa gissning som matchar våra observationer av svenska badhusrenoveringar. Vid en 50-årshorisont bör händelsen flyttas senare (år 30–40) och kostnaden höjas (40–50 procent), eftersom analysperioden då sträcker sig längre in i anläggningens åldrande.</t>
  </si>
  <si>
    <t>Komponentlivslängder</t>
  </si>
  <si>
    <t>Stommen i en badanläggning håller normalt 50 år eller mer. Installationer (el, ventilation, VS, vattenrening) har kortare livslängd — typiskt 20–30 år. Yt- och tätskikt 25–30 år. Det innebär att en eller flera renoveringsomgångar är att vänta inom en 50-årig livscykel, men exakt när och i vilken omfattning beror på hur anläggningen byggts, driftshistoriken och de politiska beslutscyklerna.</t>
  </si>
  <si>
    <t>Empirisk grund</t>
  </si>
  <si>
    <t>• Empiriska utfall: ett trettiotal svenska renoveringsprojekt 2007–2026 visar tre kostnadsklasser. Delrenoveringar utan stomingrepp 15–30 procent av nybyggnadskostnaden. Renoveringar inklusive bassängstomme och teknik 40–70 procent. Totalrenoveringar med tillbyggnad eller i kulturmärkt anläggning närmar sig eller överstiger nybyggnadskostnaden.</t>
  </si>
  <si>
    <t>• SKR FoU-rapport 2014 ("Badhus — Strategiska frågor och ställningstaganden", ISBN 978-91-7585-197-6): badhus åldras upp till fyra gånger snabbare än vanliga byggnader. Det dokumenterade reinvesteringsbehovet anges till 40 miljarder kronor över tio år för det svenska beståndet. Arena Idé bekräftar 2025 storleksordningen (40–60 miljarder).</t>
  </si>
  <si>
    <t>• Survival-analys av 121 svenska kommunala badhusanläggningar (Hemtags renoveringskartläggning v70): mediantid till första dokumenterade större ingrepp är 29 år för anläggningar byggda efter 1985, med kumulativ incidens 45 procent vid kalenderålder 25 och 56 procent vid 30. En kompletterande empirisk åldersanalys av 42 datapunkter ger medianålder 18 år för delrenoveringar och 28 år för totalrenoveringar för post-1985-kohorten.</t>
  </si>
  <si>
    <t>Vid förlängd analys till 50 år</t>
  </si>
  <si>
    <t>Rekommendationen är att höja B16 till 40–50 procent och flytta B17 till år 30–40. Det approximerar nuvärdet av en eller flera senare renoveringsomgångar.</t>
  </si>
  <si>
    <t>Spridning och förbehåll</t>
  </si>
  <si>
    <t>Spannet i empirin är stort. Mediantiden döljer betydande spridning — enskilda anläggningar har genomgått större ingrepp redan efter 15 år (Arena Grosvad 6 år, Holjebadet 17 år), medan andra fungerat 40+ år utan dokumenterad reinvestering. Den valda nivån 20 procent vid år 25 är därför en central punkt i ett brett utfallsrum, inte en prognos för det enskilda projektet.</t>
  </si>
  <si>
    <t>5. RISKVÄRDERING — VARFÖR 10/20 PROCENT</t>
  </si>
  <si>
    <t>För en investering på 300 mkr motsvarar 10 procent ett NV-tillägg på 30 mkr och 20 procent 60 mkr. Frågan är vilka händelser som behöver inträffa under 30 år för att riskerna sammanlagt ska nå dessa nivåer. Nedan listas konkreta händelser från svensk samhällsekonomi och svensk badhusdrift under de senaste 30 åren, översatta till nuvärde med modellens parametrar (3 procent nominell diskontering, 2 procent KPI, 30 års analysperiod).</t>
  </si>
  <si>
    <t>Tillägget på 30 mkr (10 procent) motsvarar exempelvis att ränteuppgången 2022–24 upprepas en gång under perioden tillsammans med en längre driftstörning och två år med underskott i badverksamheten — eller att ränteantagandet 3 procent bryter mot Riksbankens långsiktsintervall med en knapp procentenhet under hela perioden.</t>
  </si>
  <si>
    <t>Tillägget på 60 mkr (20 procent) motsvarar att räntan ligger en procentenhet över antagandet under hela perioden, plus driftglidning över KPI, en längre driftstörning och två år med underskott. Reporäntan har rört sig från −0,50 till 4,00 procent på tio år och elpriserna i södra Sverige mångdubblades 2022 — utfallsrummet är stort.</t>
  </si>
  <si>
    <t>Det är inte fråga om värsta utfall. Det är fråga om att några av de tänkbara händelserna sannolikt inträffar under 30 år — och att 10 respektive 20 procent motsvarar olika antaganden om hur många och hur stora.</t>
  </si>
  <si>
    <t>6. FÖRBEHÅLL OCH BEGRÄNSNINGAR</t>
  </si>
  <si>
    <t>Modellen hanterar inte:</t>
  </si>
  <si>
    <t>• Restvärde av anläggning efter analysperiodens slut</t>
  </si>
  <si>
    <t>• Personal i driftskostnaderna (antas hanteras av operatör)</t>
  </si>
  <si>
    <t>• Skatteeffekter (kalkylen är skatteneutral)</t>
  </si>
  <si>
    <t>• Fördyring i operatörsavtalet över tid</t>
  </si>
  <si>
    <t>• Extraordinära händelser (pandemi, naturkatastrof, större skadestånd)</t>
  </si>
  <si>
    <t>Hyra eller bidrag från verksamhetsoperatör (B18) påverkar bara det kommunala ägandet. I livscykelmodellen är hyra/bidrag inbakat i den fasta ersättningen.</t>
  </si>
  <si>
    <t>7. KÄLLFÖRTECKNING</t>
  </si>
  <si>
    <t>Entreprenadkontrakt — Flik 2 Benchmark kommunalt ägande</t>
  </si>
  <si>
    <t>Tretton kontrakt 2014–2025: Munktellbadet, Pepparrotsbadet, Täby, Ekerö, Lidingö Dalénum, Nacka Näckenbadet, Karlskrona Rödeby, Burlövsbadet, Timrå, Harjagersbadet, Forshaga Klarälvsbadet, Spångbergshallen, Hässleholm Österåsbadet. Primärkällor: kommunala beslut, entreprenörers pressmeddelanden, ByggfaktaDOCU.</t>
  </si>
  <si>
    <t>Byggkostnadsindex</t>
  </si>
  <si>
    <t>SCB Byggkostnadsindex flerbostadshus (FPIBOAr), bas 1968 = 100.</t>
  </si>
  <si>
    <t>Drift och underhåll</t>
  </si>
  <si>
    <t>Uppsala kommun, Nya badanläggningar i Uppsala kommun (UKAF-2022-0004), Martin Englund 2022. Primär kalibreringskälla för drift, underhåll och investering — se sektion 3.3.</t>
  </si>
  <si>
    <t>Hemtags driftrapporter Tyresö Aquarena 2013–2025 och Järfällabadet 2018–2025 (granskade av extern revisor).</t>
  </si>
  <si>
    <t>Aff-handboken — etablerad standard för underhållsbeskrivningar.</t>
  </si>
  <si>
    <t>Reinvestering — empiri</t>
  </si>
  <si>
    <t>Hemtag Fastigheter AB, Svenska kommunala badhusrenoveringar 2010–2026 (renoveringskartläggning). Ligger till grund för standardvärdet 20 procent vid år 25 — se sektion 4 för full motivering.</t>
  </si>
  <si>
    <t>SP-rapport 2015:56, Sikander &amp; Samuelson, Sveriges Tekniska Forskningsinstitut — om driftklimatets effekter på badhusbyggnaden.</t>
  </si>
  <si>
    <t>Sveriges Kommuner och Regioner (2014), Badhus — strategiska frågor och ställningstaganden. FoU-fonden för fastighetsfrågor, författad av Grontmij.</t>
  </si>
  <si>
    <t>Fördyringshistorik</t>
  </si>
  <si>
    <t>Hemtag Fastigheter AB, Kartläggning av 48 svenska kommunala badhusprojekt 2016–2026. Primärkällor: kommunala protokoll, årsredovisningar, kommunbolagsrapporter, ByggfaktaDOCU.</t>
  </si>
  <si>
    <t>Ränta och inflation</t>
  </si>
  <si>
    <t>Kommuninvest — kommunsektorns genomsnittsränta 2025, statistik upplåningsräntor.</t>
  </si>
  <si>
    <t>Riksbanken — inflationsmål 2 procent, KPI-statistik, styrräntestatistik.</t>
  </si>
  <si>
    <t>Risköverföring</t>
  </si>
  <si>
    <t>Riksgälden, OPS — en internationell jämförelse, Riksgäldskommentar 2/2021.</t>
  </si>
  <si>
    <t>Regelverk</t>
  </si>
  <si>
    <t>LKBR (Lag om kommunal bokföring och redovisning).</t>
  </si>
  <si>
    <t>LUK (Lag om upphandling av koncessioner) 2016:1147.</t>
  </si>
  <si>
    <t>LOU (Lag om offentlig upphandling).</t>
  </si>
  <si>
    <t>Bokföringsnämnden BFNAR 2012:1 (K3) Årsredovisning och koncernredovisning.</t>
  </si>
  <si>
    <t>Rådet för kommunal redovisning RKR R4 Materiella anläggningstillgångar.</t>
  </si>
  <si>
    <t>Hemtag-publikationer</t>
  </si>
  <si>
    <t>Hemtags badhusguide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</si>
</sst>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
    <numFmt numFmtId="165" formatCode="0\ %"/>
    <numFmt numFmtId="166" formatCode="#,##0.0;\-#,##0.0;0.0"/>
    <numFmt numFmtId="167" formatCode="0.0%"/>
    <numFmt numFmtId="168" formatCode="\+0.0%;\-0.0%;0.0%"/>
    <numFmt numFmtId="169" formatCode="\+#,##0;\-#,##0;0"/>
    <numFmt numFmtId="170" formatCode="0.0"/>
    <numFmt numFmtId="171" formatCode="#,##0.0;\-#,##0.0;\—"/>
    <numFmt numFmtId="172" formatCode="#,##0.0"/>
    <numFmt numFmtId="173" formatCode="#,##0.000;\-#,##0.000;&quot;—&quot;"/>
    <numFmt numFmtId="174" formatCode="#,##0.0;\-#,##0.0"/>
    <numFmt numFmtId="175" formatCode="#,##0;\-#,##0;0"/>
  </numFmts>
  <fonts count="46" x14ac:knownFonts="1">
    <font>
      <sz val="11"/>
      <color theme="1"/>
      <name val="Calibri"/>
      <family val="2"/>
      <charset val="1"/>
    </font>
    <font>
      <sz val="26"/>
      <color rgb="FF0F2C47"/>
      <name val="Cambria"/>
      <charset val="1"/>
    </font>
    <font>
      <i/>
      <sz val="10.5"/>
      <color rgb="FF8B8B8B"/>
      <name val="Cambria"/>
      <charset val="1"/>
    </font>
    <font>
      <b/>
      <sz val="12"/>
      <color rgb="FF1F4E78"/>
      <name val="Cambria"/>
      <charset val="1"/>
    </font>
    <font>
      <b/>
      <sz val="10"/>
      <color rgb="FF1F4E78"/>
      <name val="Cambria"/>
      <charset val="1"/>
    </font>
    <font>
      <sz val="10.5"/>
      <color rgb="FF2C2C2C"/>
      <name val="Calibri"/>
      <charset val="1"/>
    </font>
    <font>
      <b/>
      <sz val="11"/>
      <color rgb="FF0F2C47"/>
      <name val="Calibri"/>
      <charset val="1"/>
    </font>
    <font>
      <sz val="9"/>
      <color rgb="FF8B8B8B"/>
      <name val="Calibri"/>
      <charset val="1"/>
    </font>
    <font>
      <b/>
      <sz val="11"/>
      <color theme="0" tint="-0.34998626667073579"/>
      <name val="Calibri"/>
      <family val="2"/>
      <charset val="1"/>
    </font>
    <font>
      <b/>
      <sz val="10"/>
      <color rgb="FF8B8B8B"/>
      <name val="Calibri"/>
      <family val="2"/>
      <charset val="1"/>
    </font>
    <font>
      <sz val="30"/>
      <color rgb="FF0F2C47"/>
      <name val="Cambria"/>
      <charset val="1"/>
    </font>
    <font>
      <sz val="30"/>
      <color rgb="FFB85C38"/>
      <name val="Cambria"/>
      <charset val="1"/>
    </font>
    <font>
      <i/>
      <sz val="9"/>
      <color rgb="FF8B8B8B"/>
      <name val="Calibri"/>
      <charset val="1"/>
    </font>
    <font>
      <i/>
      <sz val="10"/>
      <color rgb="FFB85C38"/>
      <name val="Cambria"/>
      <charset val="1"/>
    </font>
    <font>
      <sz val="28"/>
      <color rgb="FF0F2C47"/>
      <name val="Cambria"/>
      <charset val="1"/>
    </font>
    <font>
      <b/>
      <i/>
      <sz val="11"/>
      <color rgb="FFB85C38"/>
      <name val="Cambria"/>
      <charset val="1"/>
    </font>
    <font>
      <b/>
      <sz val="11"/>
      <color rgb="FF1F4E78"/>
      <name val="Cambria"/>
      <charset val="1"/>
    </font>
    <font>
      <sz val="11"/>
      <name val="Cambria"/>
      <charset val="1"/>
    </font>
    <font>
      <sz val="18"/>
      <color rgb="FF0F2C47"/>
      <name val="Cambria"/>
      <charset val="1"/>
    </font>
    <font>
      <i/>
      <sz val="10"/>
      <name val="Calibri"/>
      <family val="2"/>
      <charset val="1"/>
    </font>
    <font>
      <i/>
      <sz val="9"/>
      <name val="Calibri"/>
      <family val="2"/>
      <charset val="1"/>
    </font>
    <font>
      <sz val="10"/>
      <color rgb="FF2C2C2C"/>
      <name val="Calibri"/>
      <family val="2"/>
      <charset val="1"/>
    </font>
    <font>
      <b/>
      <sz val="10"/>
      <color rgb="FF2C2C2C"/>
      <name val="Calibri"/>
      <family val="2"/>
      <charset val="1"/>
    </font>
    <font>
      <sz val="11"/>
      <name val="Calibri"/>
      <family val="2"/>
      <charset val="1"/>
    </font>
    <font>
      <b/>
      <sz val="10"/>
      <name val="Calibri"/>
      <family val="2"/>
      <charset val="1"/>
    </font>
    <font>
      <sz val="10"/>
      <name val="Calibri"/>
      <family val="2"/>
      <charset val="1"/>
    </font>
    <font>
      <b/>
      <sz val="9"/>
      <name val="Calibri"/>
      <family val="2"/>
      <charset val="1"/>
    </font>
    <font>
      <i/>
      <sz val="8"/>
      <name val="Calibri"/>
      <family val="2"/>
      <charset val="1"/>
    </font>
    <font>
      <i/>
      <sz val="10"/>
      <color rgb="FF8B8B8B"/>
      <name val="Cambria"/>
      <charset val="1"/>
    </font>
    <font>
      <sz val="10"/>
      <color rgb="FF2C2C2C"/>
      <name val="Calibri"/>
      <charset val="1"/>
    </font>
    <font>
      <b/>
      <sz val="10"/>
      <color rgb="FF2C2C2C"/>
      <name val="Calibri"/>
      <charset val="1"/>
    </font>
    <font>
      <b/>
      <sz val="10"/>
      <color rgb="FF0F2C47"/>
      <name val="Calibri"/>
      <charset val="1"/>
    </font>
    <font>
      <b/>
      <sz val="10"/>
      <color rgb="FF000000"/>
      <name val="Arial"/>
      <charset val="1"/>
    </font>
    <font>
      <sz val="10"/>
      <color theme="1"/>
      <name val="Calibri"/>
      <family val="2"/>
      <charset val="1"/>
    </font>
    <font>
      <sz val="14"/>
      <color theme="1"/>
      <name val="Calibri"/>
      <family val="2"/>
      <charset val="1"/>
    </font>
    <font>
      <b/>
      <sz val="10"/>
      <color rgb="FF1F4E78"/>
      <name val="Cambria"/>
    </font>
    <font>
      <sz val="10"/>
      <color rgb="FF2C2C2C"/>
      <name val="Calibri"/>
    </font>
    <font>
      <i/>
      <sz val="10.5"/>
      <color rgb="FF8B8B8B"/>
      <name val="Calibri"/>
    </font>
    <font>
      <b/>
      <sz val="11"/>
      <color rgb="FF0F2C47"/>
      <name val="Calibri"/>
    </font>
    <font>
      <b/>
      <sz val="10.5"/>
      <color rgb="FF0F2C47"/>
      <name val="Calibri"/>
    </font>
    <font>
      <sz val="10.5"/>
      <color rgb="FF2C2C2C"/>
      <name val="Calibri"/>
    </font>
    <font>
      <b/>
      <sz val="18"/>
      <color rgb="FF1E3A5F"/>
      <name val="Calibri"/>
    </font>
    <font>
      <sz val="11"/>
      <color rgb="FF1A1A1A"/>
      <name val="Calibri"/>
    </font>
    <font>
      <b/>
      <sz val="14"/>
      <color rgb="FF1E3A5F"/>
      <name val="Calibri"/>
    </font>
    <font>
      <b/>
      <i/>
      <sz val="12"/>
      <color rgb="FF1E3A5F"/>
      <name val="Calibri"/>
    </font>
    <font>
      <sz val="11"/>
      <name val="Calibri"/>
    </font>
  </fonts>
  <fills count="9">
    <fill>
      <patternFill patternType="none"/>
    </fill>
    <fill>
      <patternFill patternType="gray125"/>
    </fill>
    <fill>
      <patternFill patternType="solid">
        <fgColor rgb="FFF5EFE0"/>
        <bgColor rgb="FFF5F5F5"/>
      </patternFill>
    </fill>
    <fill>
      <patternFill patternType="solid">
        <fgColor theme="0"/>
        <bgColor rgb="FFFAF7F2"/>
      </patternFill>
    </fill>
    <fill>
      <patternFill patternType="solid">
        <fgColor rgb="FFFAF7F2"/>
        <bgColor rgb="FFF5F5F5"/>
      </patternFill>
    </fill>
    <fill>
      <patternFill patternType="solid">
        <fgColor rgb="FFE8DCC0"/>
        <bgColor rgb="FFD9D9D9"/>
      </patternFill>
    </fill>
    <fill>
      <patternFill patternType="solid">
        <fgColor rgb="FFF5F5F5"/>
        <bgColor rgb="FFFAF7F2"/>
      </patternFill>
    </fill>
    <fill>
      <patternFill patternType="solid">
        <fgColor rgb="FFE8EEF4"/>
        <bgColor rgb="FFF5F5F5"/>
      </patternFill>
    </fill>
    <fill>
      <patternFill patternType="solid">
        <fgColor rgb="FFFAF7F2"/>
        <bgColor rgb="FFFAF7F2"/>
      </patternFill>
    </fill>
  </fills>
  <borders count="9">
    <border>
      <left/>
      <right/>
      <top/>
      <bottom/>
      <diagonal/>
    </border>
    <border>
      <left/>
      <right/>
      <top/>
      <bottom style="thin">
        <color rgb="FFB85C38"/>
      </bottom>
      <diagonal/>
    </border>
    <border>
      <left/>
      <right/>
      <top/>
      <bottom style="thin">
        <color rgb="FF1F4E78"/>
      </bottom>
      <diagonal/>
    </border>
    <border>
      <left style="thin">
        <color rgb="FFBFBFBF"/>
      </left>
      <right style="thin">
        <color rgb="FFBFBFBF"/>
      </right>
      <top style="thin">
        <color rgb="FFBFBFBF"/>
      </top>
      <bottom style="thin">
        <color rgb="FFBFBFBF"/>
      </bottom>
      <diagonal/>
    </border>
    <border>
      <left/>
      <right/>
      <top style="thin">
        <color rgb="FF1F4E78"/>
      </top>
      <bottom/>
      <diagonal/>
    </border>
    <border>
      <left style="thin">
        <color rgb="FFBFBFBF"/>
      </left>
      <right style="thin">
        <color rgb="FFBFBFBF"/>
      </right>
      <top style="thin">
        <color rgb="FFBFBFBF"/>
      </top>
      <bottom style="thin">
        <color rgb="FF1F4E78"/>
      </bottom>
      <diagonal/>
    </border>
    <border>
      <left/>
      <right/>
      <top style="thin">
        <color rgb="FFCCCCCC"/>
      </top>
      <bottom/>
      <diagonal/>
    </border>
    <border>
      <left style="thin">
        <color rgb="FFBFBFBF"/>
      </left>
      <right style="thin">
        <color rgb="FFBFBFBF"/>
      </right>
      <top style="thin">
        <color rgb="FFBFBFBF"/>
      </top>
      <bottom style="thin">
        <color rgb="FF1F4E78"/>
      </bottom>
      <diagonal/>
    </border>
    <border>
      <left/>
      <right/>
      <top/>
      <bottom/>
      <diagonal/>
    </border>
  </borders>
  <cellStyleXfs count="1">
    <xf numFmtId="0" fontId="0" fillId="0" borderId="8"/>
  </cellStyleXfs>
  <cellXfs count="131">
    <xf numFmtId="0" fontId="0" fillId="0" borderId="0" xfId="0" applyBorder="1"/>
    <xf numFmtId="0" fontId="5" fillId="0" borderId="0" xfId="0" applyFont="1" applyBorder="1" applyAlignment="1">
      <alignment horizontal="left" vertical="center" indent="1"/>
    </xf>
    <xf numFmtId="0" fontId="6" fillId="2" borderId="3" xfId="0" applyFont="1" applyFill="1" applyBorder="1" applyAlignment="1">
      <alignment horizontal="center" vertical="center"/>
    </xf>
    <xf numFmtId="0" fontId="7" fillId="0" borderId="0" xfId="0" applyFont="1" applyBorder="1" applyAlignment="1">
      <alignment horizontal="left" vertical="center" indent="1"/>
    </xf>
    <xf numFmtId="0" fontId="8" fillId="3" borderId="3" xfId="0" applyFont="1" applyFill="1" applyBorder="1" applyAlignment="1">
      <alignment horizontal="center" vertical="center"/>
    </xf>
    <xf numFmtId="0" fontId="7" fillId="0" borderId="0" xfId="0" applyFont="1" applyBorder="1" applyAlignment="1">
      <alignment horizontal="left" vertical="center"/>
    </xf>
    <xf numFmtId="164" fontId="6" fillId="2" borderId="3" xfId="0" applyNumberFormat="1" applyFont="1" applyFill="1" applyBorder="1" applyAlignment="1">
      <alignment horizontal="center" vertical="center"/>
    </xf>
    <xf numFmtId="165"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xf>
    <xf numFmtId="9" fontId="6" fillId="0" borderId="0" xfId="0" applyNumberFormat="1" applyFont="1" applyBorder="1" applyAlignment="1">
      <alignment horizontal="center" vertical="center"/>
    </xf>
    <xf numFmtId="0" fontId="15" fillId="0" borderId="0" xfId="0" applyFont="1" applyBorder="1" applyAlignment="1">
      <alignment vertical="center"/>
    </xf>
    <xf numFmtId="0" fontId="17" fillId="0" borderId="0" xfId="0" applyFont="1" applyBorder="1"/>
    <xf numFmtId="3" fontId="17" fillId="0" borderId="0" xfId="0" applyNumberFormat="1" applyFont="1" applyBorder="1"/>
    <xf numFmtId="0" fontId="18" fillId="0" borderId="1" xfId="0" applyFont="1" applyBorder="1" applyAlignment="1">
      <alignment vertical="center"/>
    </xf>
    <xf numFmtId="0" fontId="4" fillId="4" borderId="3" xfId="0" applyFont="1" applyFill="1" applyBorder="1" applyAlignment="1">
      <alignment horizontal="left" vertical="center" wrapText="1"/>
    </xf>
    <xf numFmtId="0" fontId="21" fillId="0" borderId="3" xfId="0" applyFont="1" applyBorder="1" applyAlignment="1">
      <alignment horizontal="center" vertical="center"/>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xf>
    <xf numFmtId="1" fontId="21" fillId="0" borderId="3" xfId="0" applyNumberFormat="1" applyFont="1" applyBorder="1" applyAlignment="1">
      <alignment horizontal="center" vertical="center"/>
    </xf>
    <xf numFmtId="1" fontId="22" fillId="0" borderId="3" xfId="0" applyNumberFormat="1" applyFont="1" applyBorder="1" applyAlignment="1">
      <alignment horizontal="center" vertical="center"/>
    </xf>
    <xf numFmtId="0" fontId="23" fillId="0" borderId="0" xfId="0" applyFont="1" applyBorder="1"/>
    <xf numFmtId="3" fontId="23" fillId="0" borderId="0" xfId="0" applyNumberFormat="1" applyFont="1" applyBorder="1"/>
    <xf numFmtId="0" fontId="24" fillId="5" borderId="0" xfId="0" applyFont="1" applyFill="1" applyBorder="1"/>
    <xf numFmtId="0" fontId="25" fillId="5" borderId="0" xfId="0" applyFont="1" applyFill="1" applyBorder="1"/>
    <xf numFmtId="0" fontId="25" fillId="5" borderId="0" xfId="0" applyFont="1" applyFill="1" applyBorder="1" applyAlignment="1">
      <alignment horizontal="center"/>
    </xf>
    <xf numFmtId="1" fontId="25" fillId="5" borderId="0" xfId="0" applyNumberFormat="1" applyFont="1" applyFill="1" applyBorder="1" applyAlignment="1">
      <alignment horizontal="center"/>
    </xf>
    <xf numFmtId="0" fontId="19" fillId="5" borderId="0" xfId="0" applyFont="1" applyFill="1" applyBorder="1"/>
    <xf numFmtId="3" fontId="25" fillId="5" borderId="0" xfId="0" applyNumberFormat="1" applyFont="1" applyFill="1" applyBorder="1" applyAlignment="1">
      <alignment horizontal="center"/>
    </xf>
    <xf numFmtId="3" fontId="24" fillId="5" borderId="0" xfId="0" applyNumberFormat="1" applyFont="1" applyFill="1" applyBorder="1" applyAlignment="1">
      <alignment horizontal="center"/>
    </xf>
    <xf numFmtId="0" fontId="26" fillId="0" borderId="0" xfId="0" applyFont="1" applyBorder="1"/>
    <xf numFmtId="1" fontId="23" fillId="0" borderId="0" xfId="0" applyNumberFormat="1" applyFont="1" applyBorder="1"/>
    <xf numFmtId="0" fontId="27" fillId="0" borderId="0" xfId="0" applyFont="1" applyBorder="1"/>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9" fillId="0" borderId="0" xfId="0" applyFont="1" applyBorder="1" applyAlignment="1">
      <alignment horizontal="center" vertical="center"/>
    </xf>
    <xf numFmtId="1" fontId="29" fillId="0" borderId="0" xfId="0" applyNumberFormat="1" applyFont="1" applyBorder="1" applyAlignment="1">
      <alignment horizontal="center" vertical="center"/>
    </xf>
    <xf numFmtId="0" fontId="30" fillId="6" borderId="0" xfId="0" applyFont="1" applyFill="1" applyBorder="1"/>
    <xf numFmtId="0" fontId="31" fillId="0" borderId="0" xfId="0" applyFont="1" applyBorder="1" applyAlignment="1">
      <alignment horizontal="left" vertical="center"/>
    </xf>
    <xf numFmtId="3" fontId="29" fillId="0" borderId="0" xfId="0" applyNumberFormat="1" applyFont="1" applyBorder="1" applyAlignment="1">
      <alignment horizontal="left" vertical="center"/>
    </xf>
    <xf numFmtId="0" fontId="29" fillId="0" borderId="0" xfId="0" applyFont="1" applyBorder="1" applyAlignment="1">
      <alignment horizontal="right" vertical="center"/>
    </xf>
    <xf numFmtId="1" fontId="29" fillId="0" borderId="0" xfId="0" applyNumberFormat="1" applyFont="1" applyBorder="1" applyAlignment="1">
      <alignment horizontal="right" vertical="center"/>
    </xf>
    <xf numFmtId="0" fontId="32" fillId="0" borderId="0" xfId="0" applyFont="1" applyBorder="1" applyAlignment="1">
      <alignment horizontal="left" vertical="top"/>
    </xf>
    <xf numFmtId="0" fontId="33" fillId="0" borderId="0" xfId="0" applyFont="1" applyBorder="1"/>
    <xf numFmtId="0" fontId="34" fillId="0" borderId="0" xfId="0" applyFont="1" applyBorder="1" applyAlignment="1">
      <alignment horizontal="left"/>
    </xf>
    <xf numFmtId="0" fontId="21" fillId="0" borderId="0" xfId="0" applyFont="1" applyBorder="1" applyAlignment="1">
      <alignment horizontal="left" vertical="center"/>
    </xf>
    <xf numFmtId="0" fontId="35" fillId="8" borderId="7" xfId="0" applyFont="1" applyFill="1" applyBorder="1" applyAlignment="1">
      <alignment horizontal="center" vertical="center" wrapText="1"/>
    </xf>
    <xf numFmtId="166" fontId="11" fillId="0" borderId="0" xfId="0" applyNumberFormat="1" applyFont="1" applyBorder="1" applyAlignment="1">
      <alignment vertical="center"/>
    </xf>
    <xf numFmtId="167" fontId="17" fillId="0" borderId="0" xfId="0" applyNumberFormat="1" applyFont="1" applyBorder="1"/>
    <xf numFmtId="168" fontId="17" fillId="0" borderId="0" xfId="0" applyNumberFormat="1" applyFont="1" applyBorder="1"/>
    <xf numFmtId="169" fontId="17" fillId="0" borderId="0" xfId="0" applyNumberFormat="1" applyFont="1" applyBorder="1"/>
    <xf numFmtId="170" fontId="23" fillId="0" borderId="0" xfId="0" applyNumberFormat="1" applyFont="1" applyBorder="1"/>
    <xf numFmtId="170" fontId="25" fillId="5" borderId="0" xfId="0" applyNumberFormat="1" applyFont="1" applyFill="1" applyBorder="1" applyAlignment="1">
      <alignment horizontal="center"/>
    </xf>
    <xf numFmtId="171" fontId="29" fillId="0" borderId="0" xfId="0" applyNumberFormat="1" applyFont="1" applyBorder="1" applyAlignment="1">
      <alignment horizontal="center" vertical="center"/>
    </xf>
    <xf numFmtId="172" fontId="29" fillId="0" borderId="0" xfId="0" applyNumberFormat="1" applyFont="1" applyBorder="1" applyAlignment="1">
      <alignment horizontal="center" vertical="center"/>
    </xf>
    <xf numFmtId="172" fontId="29" fillId="0" borderId="0" xfId="0" applyNumberFormat="1" applyFont="1" applyBorder="1" applyAlignment="1">
      <alignment horizontal="left" vertical="center"/>
    </xf>
    <xf numFmtId="171" fontId="30" fillId="6" borderId="0" xfId="0" applyNumberFormat="1" applyFont="1" applyFill="1" applyBorder="1" applyAlignment="1">
      <alignment horizontal="center" vertical="center"/>
    </xf>
    <xf numFmtId="172" fontId="30" fillId="6" borderId="0" xfId="0" applyNumberFormat="1" applyFont="1" applyFill="1" applyBorder="1" applyAlignment="1">
      <alignment horizontal="center" vertical="center"/>
    </xf>
    <xf numFmtId="171" fontId="30" fillId="6" borderId="0" xfId="0" applyNumberFormat="1" applyFont="1" applyFill="1" applyBorder="1" applyAlignment="1">
      <alignment horizontal="center"/>
    </xf>
    <xf numFmtId="171" fontId="29" fillId="0" borderId="0" xfId="0" applyNumberFormat="1" applyFont="1" applyBorder="1" applyAlignment="1">
      <alignment horizontal="right"/>
    </xf>
    <xf numFmtId="171" fontId="30" fillId="6" borderId="0" xfId="0" applyNumberFormat="1" applyFont="1" applyFill="1" applyBorder="1"/>
    <xf numFmtId="0" fontId="0" fillId="0" borderId="0" xfId="0" applyBorder="1" applyAlignment="1">
      <alignment horizontal="left" vertical="top" wrapText="1"/>
    </xf>
    <xf numFmtId="3" fontId="21" fillId="0" borderId="0" xfId="0" applyNumberFormat="1" applyFont="1" applyBorder="1" applyAlignment="1">
      <alignment horizontal="center" vertical="center"/>
    </xf>
    <xf numFmtId="0" fontId="21" fillId="0" borderId="0" xfId="0" applyFont="1" applyBorder="1" applyAlignment="1">
      <alignment horizontal="center" vertical="center"/>
    </xf>
    <xf numFmtId="1" fontId="21" fillId="0" borderId="0" xfId="0" applyNumberFormat="1" applyFont="1" applyBorder="1" applyAlignment="1">
      <alignment horizontal="center" vertical="center"/>
    </xf>
    <xf numFmtId="1" fontId="22" fillId="0" borderId="0" xfId="0" applyNumberFormat="1" applyFont="1" applyBorder="1" applyAlignment="1">
      <alignment horizontal="center" vertical="center"/>
    </xf>
    <xf numFmtId="0" fontId="36" fillId="0" borderId="3" xfId="0" applyFont="1" applyBorder="1" applyAlignment="1">
      <alignment horizontal="left" vertical="top" wrapText="1"/>
    </xf>
    <xf numFmtId="165" fontId="38" fillId="0" borderId="3" xfId="0" applyNumberFormat="1" applyFont="1" applyBorder="1" applyAlignment="1">
      <alignment horizontal="left" vertical="top" wrapText="1"/>
    </xf>
    <xf numFmtId="0" fontId="39" fillId="0" borderId="3" xfId="0" applyFont="1" applyBorder="1" applyAlignment="1">
      <alignment horizontal="left" vertical="top" wrapText="1"/>
    </xf>
    <xf numFmtId="0" fontId="36" fillId="8" borderId="3" xfId="0" applyFont="1" applyFill="1" applyBorder="1" applyAlignment="1">
      <alignment horizontal="left" vertical="top" wrapText="1"/>
    </xf>
    <xf numFmtId="165" fontId="38" fillId="8" borderId="3" xfId="0" applyNumberFormat="1" applyFont="1" applyFill="1" applyBorder="1" applyAlignment="1">
      <alignment horizontal="left" vertical="top" wrapText="1"/>
    </xf>
    <xf numFmtId="0" fontId="39" fillId="8" borderId="3" xfId="0" applyFont="1" applyFill="1" applyBorder="1" applyAlignment="1">
      <alignment horizontal="left" vertical="top" wrapText="1"/>
    </xf>
    <xf numFmtId="0" fontId="4" fillId="0" borderId="3" xfId="0" applyFont="1" applyBorder="1" applyAlignment="1">
      <alignment horizontal="left" vertical="center" wrapText="1"/>
    </xf>
    <xf numFmtId="173" fontId="36" fillId="0" borderId="0" xfId="0" applyNumberFormat="1" applyFont="1" applyBorder="1" applyAlignment="1">
      <alignment horizontal="right"/>
    </xf>
    <xf numFmtId="174" fontId="31" fillId="0" borderId="0" xfId="0" applyNumberFormat="1" applyFont="1" applyBorder="1" applyAlignment="1">
      <alignment horizontal="left" vertical="center"/>
    </xf>
    <xf numFmtId="0" fontId="41" fillId="0" borderId="8" xfId="0" applyFont="1" applyAlignment="1">
      <alignment horizontal="left" vertical="top" wrapText="1"/>
    </xf>
    <xf numFmtId="0" fontId="45" fillId="0" borderId="8" xfId="0" applyFont="1"/>
    <xf numFmtId="0" fontId="42" fillId="0" borderId="8" xfId="0" applyFont="1" applyAlignment="1">
      <alignment horizontal="left" vertical="top" wrapText="1"/>
    </xf>
    <xf numFmtId="0" fontId="43" fillId="0" borderId="8" xfId="0" applyFont="1" applyAlignment="1">
      <alignment horizontal="left" vertical="top" wrapText="1"/>
    </xf>
    <xf numFmtId="0" fontId="42" fillId="0" borderId="8" xfId="0" applyFont="1" applyAlignment="1">
      <alignment horizontal="left" vertical="top" wrapText="1" indent="2"/>
    </xf>
    <xf numFmtId="0" fontId="44" fillId="0" borderId="8" xfId="0" applyFont="1" applyAlignment="1">
      <alignment horizontal="left" vertical="top" wrapText="1"/>
    </xf>
    <xf numFmtId="0" fontId="12" fillId="0" borderId="0" xfId="0" applyFont="1" applyBorder="1" applyAlignment="1">
      <alignment horizontal="center" vertical="top"/>
    </xf>
    <xf numFmtId="0" fontId="4" fillId="0" borderId="0" xfId="0" applyFont="1" applyBorder="1" applyAlignment="1">
      <alignment horizontal="left" vertical="center"/>
    </xf>
    <xf numFmtId="0" fontId="29" fillId="0" borderId="0" xfId="0" applyFont="1" applyBorder="1" applyAlignment="1">
      <alignment horizontal="left" vertical="center"/>
    </xf>
    <xf numFmtId="0" fontId="44" fillId="0" borderId="8" xfId="0" applyFont="1"/>
    <xf numFmtId="0" fontId="44" fillId="0" borderId="0" xfId="0" applyFont="1" applyBorder="1"/>
    <xf numFmtId="0" fontId="0" fillId="0" borderId="0" xfId="0" applyBorder="1"/>
    <xf numFmtId="0" fontId="0" fillId="0" borderId="2" xfId="0" applyBorder="1"/>
    <xf numFmtId="0" fontId="0" fillId="0" borderId="1" xfId="0" applyBorder="1"/>
    <xf numFmtId="0" fontId="0" fillId="0" borderId="0" xfId="0" applyBorder="1" applyAlignment="1">
      <alignment horizontal="center"/>
    </xf>
    <xf numFmtId="0" fontId="33" fillId="0" borderId="8" xfId="0" applyFont="1"/>
    <xf numFmtId="0" fontId="0" fillId="0" borderId="8" xfId="0"/>
    <xf numFmtId="0" fontId="42" fillId="0" borderId="8" xfId="0" applyFont="1" applyAlignment="1">
      <alignment vertical="top" wrapText="1"/>
    </xf>
    <xf numFmtId="0" fontId="9" fillId="0" borderId="8" xfId="0" applyFont="1" applyAlignment="1">
      <alignment horizontal="center" wrapText="1"/>
    </xf>
    <xf numFmtId="0" fontId="0" fillId="0" borderId="0" xfId="0" applyBorder="1"/>
    <xf numFmtId="0" fontId="13" fillId="0" borderId="8" xfId="0" applyFont="1" applyAlignment="1">
      <alignment horizontal="left" vertical="center" wrapText="1"/>
    </xf>
    <xf numFmtId="0" fontId="4" fillId="0" borderId="4" xfId="0" applyFont="1" applyBorder="1" applyAlignment="1">
      <alignment horizontal="center" vertical="center"/>
    </xf>
    <xf numFmtId="0" fontId="0" fillId="0" borderId="4" xfId="0" applyBorder="1"/>
    <xf numFmtId="0" fontId="12" fillId="0" borderId="8" xfId="0" applyFont="1" applyAlignment="1">
      <alignment horizontal="center" vertical="top"/>
    </xf>
    <xf numFmtId="0" fontId="15" fillId="0" borderId="8" xfId="0" applyFont="1" applyAlignment="1">
      <alignment horizontal="center" vertical="center"/>
    </xf>
    <xf numFmtId="0" fontId="3" fillId="0" borderId="2" xfId="0" applyFont="1" applyBorder="1" applyAlignment="1">
      <alignment horizontal="left" vertical="center"/>
    </xf>
    <xf numFmtId="0" fontId="0" fillId="0" borderId="2" xfId="0" applyBorder="1"/>
    <xf numFmtId="0" fontId="2" fillId="0" borderId="8" xfId="0" applyFont="1" applyAlignment="1">
      <alignment horizontal="left" vertical="center" wrapText="1"/>
    </xf>
    <xf numFmtId="0" fontId="12" fillId="0" borderId="8" xfId="0" applyFont="1" applyAlignment="1">
      <alignment horizontal="center" vertical="center" wrapText="1"/>
    </xf>
    <xf numFmtId="170" fontId="14" fillId="0" borderId="8" xfId="0" applyNumberFormat="1" applyFont="1" applyAlignment="1">
      <alignment horizontal="center" vertical="center"/>
    </xf>
    <xf numFmtId="175" fontId="10" fillId="0" borderId="8" xfId="0" applyNumberFormat="1" applyFont="1" applyAlignment="1">
      <alignment horizontal="center" vertical="center"/>
    </xf>
    <xf numFmtId="0" fontId="16" fillId="0" borderId="2" xfId="0" applyFont="1" applyBorder="1" applyAlignment="1">
      <alignment horizontal="left" vertical="center"/>
    </xf>
    <xf numFmtId="0" fontId="7" fillId="0" borderId="8" xfId="0" applyFont="1" applyAlignment="1">
      <alignment horizontal="center" vertical="center"/>
    </xf>
    <xf numFmtId="166" fontId="11" fillId="0" borderId="8" xfId="0" applyNumberFormat="1" applyFont="1" applyAlignment="1">
      <alignment horizontal="center" vertical="center"/>
    </xf>
    <xf numFmtId="0" fontId="4" fillId="0" borderId="8" xfId="0" applyFont="1" applyAlignment="1">
      <alignment horizontal="left" vertical="center"/>
    </xf>
    <xf numFmtId="0" fontId="1" fillId="0" borderId="1" xfId="0" applyFont="1" applyBorder="1" applyAlignment="1">
      <alignment horizontal="left" vertical="center"/>
    </xf>
    <xf numFmtId="0" fontId="0" fillId="0" borderId="1" xfId="0" applyBorder="1"/>
    <xf numFmtId="175" fontId="11" fillId="0" borderId="8" xfId="0" applyNumberFormat="1" applyFont="1" applyAlignment="1">
      <alignment horizontal="center" vertical="center"/>
    </xf>
    <xf numFmtId="0" fontId="37" fillId="0" borderId="8" xfId="0" applyFont="1" applyAlignment="1">
      <alignment vertical="top" wrapText="1"/>
    </xf>
    <xf numFmtId="0" fontId="35" fillId="0" borderId="8" xfId="0" applyFont="1"/>
    <xf numFmtId="0" fontId="20" fillId="0" borderId="8" xfId="0" applyFont="1"/>
    <xf numFmtId="0" fontId="4" fillId="0" borderId="8" xfId="0" applyFont="1" applyAlignment="1">
      <alignment horizontal="left" wrapText="1"/>
    </xf>
    <xf numFmtId="0" fontId="40" fillId="0" borderId="8" xfId="0" applyFont="1" applyAlignment="1">
      <alignment horizontal="left" vertical="top" wrapText="1"/>
    </xf>
    <xf numFmtId="0" fontId="37" fillId="0" borderId="8" xfId="0" applyFont="1" applyAlignment="1">
      <alignment horizontal="left" vertical="top" wrapText="1"/>
    </xf>
    <xf numFmtId="0" fontId="4" fillId="0" borderId="2" xfId="0" applyFont="1" applyBorder="1" applyAlignment="1">
      <alignment horizontal="left" vertical="top" wrapText="1"/>
    </xf>
    <xf numFmtId="0" fontId="18" fillId="0" borderId="1" xfId="0" applyFont="1" applyBorder="1" applyAlignment="1">
      <alignment horizontal="left" vertical="top" wrapText="1"/>
    </xf>
    <xf numFmtId="0" fontId="4" fillId="4" borderId="8" xfId="0" applyFont="1" applyFill="1" applyAlignment="1">
      <alignment horizontal="left" vertical="top" wrapText="1"/>
    </xf>
    <xf numFmtId="0" fontId="18" fillId="0" borderId="1" xfId="0" applyFont="1" applyBorder="1" applyAlignment="1">
      <alignment horizontal="left" vertical="center"/>
    </xf>
    <xf numFmtId="0" fontId="30" fillId="6" borderId="8" xfId="0" applyFont="1" applyFill="1" applyAlignment="1">
      <alignment horizontal="left" vertical="center"/>
    </xf>
    <xf numFmtId="0" fontId="0" fillId="0" borderId="0" xfId="0" applyBorder="1" applyAlignment="1">
      <alignment horizontal="center"/>
    </xf>
    <xf numFmtId="0" fontId="29" fillId="0" borderId="8" xfId="0" applyFont="1" applyAlignment="1">
      <alignment horizontal="left" vertical="center"/>
    </xf>
    <xf numFmtId="0" fontId="28" fillId="0" borderId="8" xfId="0" applyFont="1"/>
    <xf numFmtId="0" fontId="4" fillId="7" borderId="6" xfId="0" applyFont="1" applyFill="1" applyBorder="1" applyAlignment="1">
      <alignment horizontal="left" vertical="center"/>
    </xf>
    <xf numFmtId="0" fontId="0" fillId="0" borderId="6" xfId="0" applyBorder="1"/>
    <xf numFmtId="0" fontId="18" fillId="0" borderId="1" xfId="0" applyFont="1" applyBorder="1" applyAlignment="1">
      <alignment horizontal="center" vertical="center"/>
    </xf>
    <xf numFmtId="0" fontId="4" fillId="4" borderId="8" xfId="0" applyFont="1" applyFill="1" applyAlignment="1">
      <alignment horizontal="left" vertical="center" wrapText="1"/>
    </xf>
    <xf numFmtId="0" fontId="37" fillId="0" borderId="8"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B8B8B"/>
      <rgbColor rgb="FF9999FF"/>
      <rgbColor rgb="FFB85C38"/>
      <rgbColor rgb="FFFAF7F2"/>
      <rgbColor rgb="FFE8EEF4"/>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F5F5F5"/>
      <rgbColor rgb="FFF5EFE0"/>
      <rgbColor rgb="FFD9D9D9"/>
      <rgbColor rgb="FFB3B3B3"/>
      <rgbColor rgb="FFFF99CC"/>
      <rgbColor rgb="FFCC99FF"/>
      <rgbColor rgb="FFE8DCC0"/>
      <rgbColor rgb="FF3366FF"/>
      <rgbColor rgb="FF33CCCC"/>
      <rgbColor rgb="FF99CC00"/>
      <rgbColor rgb="FFFFCC00"/>
      <rgbColor rgb="FFFF9900"/>
      <rgbColor rgb="FFFF6600"/>
      <rgbColor rgb="FF595959"/>
      <rgbColor rgb="FFA6A6A6"/>
      <rgbColor rgb="FF0F2C47"/>
      <rgbColor rgb="FF339966"/>
      <rgbColor rgb="FF003300"/>
      <rgbColor rgb="FF333300"/>
      <rgbColor rgb="FF993300"/>
      <rgbColor rgb="FF993366"/>
      <rgbColor rgb="FF1F4E78"/>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lineChart>
        <c:grouping val="standard"/>
        <c:varyColors val="0"/>
        <c:ser>
          <c:idx val="0"/>
          <c:order val="0"/>
          <c:tx>
            <c:v>Kommunalt ägande</c:v>
          </c:tx>
          <c:spPr>
            <a:ln w="28080">
              <a:solidFill>
                <a:srgbClr val="595959"/>
              </a:solidFill>
              <a:prstDash val="solid"/>
              <a:round/>
            </a:ln>
          </c:spPr>
          <c:marker>
            <c:symbol val="none"/>
          </c:marker>
          <c:dLbls>
            <c:spPr>
              <a:noFill/>
              <a:ln>
                <a:noFill/>
                <a:prstDash val="solid"/>
              </a:ln>
            </c:spPr>
            <c:txPr>
              <a:bodyPr wrap="square"/>
              <a:lstStyle/>
              <a:p>
                <a:pPr>
                  <a:defRPr sz="1000" b="0" strike="noStrike" spc="-1">
                    <a:solidFill>
                      <a:srgbClr val="000000"/>
                    </a:solidFill>
                    <a:latin typeface="Arial"/>
                  </a:defRPr>
                </a:pPr>
                <a:endParaRPr lang="sv-SE"/>
              </a:p>
            </c:tx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numRef>
              <c:f>'4. Kommunalt ägande'!$A$4:$A$53</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'4. Kommunalt ägande'!$J$4:$J$53</c:f>
              <c:numCache>
                <c:formatCode>#\ ##0.0;\-#\ ##0.0;\—</c:formatCode>
                <c:ptCount val="50"/>
                <c:pt idx="0">
                  <c:v>25.009499999999996</c:v>
                </c:pt>
                <c:pt idx="1">
                  <c:v>24.829349999999998</c:v>
                </c:pt>
                <c:pt idx="2">
                  <c:v>24.651599999999998</c:v>
                </c:pt>
                <c:pt idx="3">
                  <c:v>24.476297999999993</c:v>
                </c:pt>
                <c:pt idx="4">
                  <c:v>24.303492959999996</c:v>
                </c:pt>
                <c:pt idx="5">
                  <c:v>24.133234819199998</c:v>
                </c:pt>
                <c:pt idx="6">
                  <c:v>23.965574515583995</c:v>
                </c:pt>
                <c:pt idx="7">
                  <c:v>23.800564005895676</c:v>
                </c:pt>
                <c:pt idx="8">
                  <c:v>23.638256286013593</c:v>
                </c:pt>
                <c:pt idx="9">
                  <c:v>23.478705411733863</c:v>
                </c:pt>
                <c:pt idx="10">
                  <c:v>23.321966519968544</c:v>
                </c:pt>
                <c:pt idx="11">
                  <c:v>23.168095850367909</c:v>
                </c:pt>
                <c:pt idx="12">
                  <c:v>23.01715076737527</c:v>
                </c:pt>
                <c:pt idx="13">
                  <c:v>22.869189782722778</c:v>
                </c:pt>
                <c:pt idx="14">
                  <c:v>22.724272578377231</c:v>
                </c:pt>
                <c:pt idx="15">
                  <c:v>22.582460029944777</c:v>
                </c:pt>
                <c:pt idx="16">
                  <c:v>22.443814230543669</c:v>
                </c:pt>
                <c:pt idx="17">
                  <c:v>22.308398515154543</c:v>
                </c:pt>
                <c:pt idx="18">
                  <c:v>22.176277485457639</c:v>
                </c:pt>
                <c:pt idx="19">
                  <c:v>22.047517035166788</c:v>
                </c:pt>
                <c:pt idx="20">
                  <c:v>21.922184375870124</c:v>
                </c:pt>
                <c:pt idx="21">
                  <c:v>21.800348063387528</c:v>
                </c:pt>
                <c:pt idx="22">
                  <c:v>21.682078024655276</c:v>
                </c:pt>
                <c:pt idx="23">
                  <c:v>21.567445585148381</c:v>
                </c:pt>
                <c:pt idx="24">
                  <c:v>21.456523496851347</c:v>
                </c:pt>
                <c:pt idx="25">
                  <c:v>21.349385966788375</c:v>
                </c:pt>
                <c:pt idx="26">
                  <c:v>21.246108686124145</c:v>
                </c:pt>
                <c:pt idx="27">
                  <c:v>21.146768859846627</c:v>
                </c:pt>
                <c:pt idx="28">
                  <c:v>21.051445237043559</c:v>
                </c:pt>
                <c:pt idx="29">
                  <c:v>20.960218141784427</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1"/>
          <c:extLst>
            <c:ext xmlns:c16="http://schemas.microsoft.com/office/drawing/2014/chart" uri="{C3380CC4-5D6E-409C-BE32-E72D297353CC}">
              <c16:uniqueId val="{00000000-C9A6-4127-BC93-111F1B91AFAC}"/>
            </c:ext>
          </c:extLst>
        </c:ser>
        <c:ser>
          <c:idx val="1"/>
          <c:order val="1"/>
          <c:tx>
            <c:v>Extern aktör</c:v>
          </c:tx>
          <c:spPr>
            <a:ln w="28080">
              <a:solidFill>
                <a:srgbClr val="1F4E78"/>
              </a:solidFill>
              <a:prstDash val="solid"/>
              <a:round/>
            </a:ln>
          </c:spPr>
          <c:marker>
            <c:symbol val="none"/>
          </c:marker>
          <c:dLbls>
            <c:spPr>
              <a:noFill/>
              <a:ln>
                <a:noFill/>
                <a:prstDash val="solid"/>
              </a:ln>
            </c:spPr>
            <c:txPr>
              <a:bodyPr wrap="square"/>
              <a:lstStyle/>
              <a:p>
                <a:pPr>
                  <a:defRPr sz="1000" b="0" strike="noStrike" spc="-1">
                    <a:solidFill>
                      <a:srgbClr val="000000"/>
                    </a:solidFill>
                    <a:latin typeface="Arial"/>
                  </a:defRPr>
                </a:pPr>
                <a:endParaRPr lang="sv-SE"/>
              </a:p>
            </c:txPr>
            <c:dLblPos val="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numRef>
              <c:f>'4. Kommunalt ägande'!$A$4:$A$53</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'5. Extern aktör'!$C$4:$C$53</c:f>
              <c:numCache>
                <c:formatCode>#\ ##0.0;\-#\ ##0.0;\—</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1"/>
          <c:extLst>
            <c:ext xmlns:c16="http://schemas.microsoft.com/office/drawing/2014/chart" uri="{C3380CC4-5D6E-409C-BE32-E72D297353CC}">
              <c16:uniqueId val="{00000001-C9A6-4127-BC93-111F1B91AFAC}"/>
            </c:ext>
          </c:extLst>
        </c:ser>
        <c:dLbls>
          <c:showLegendKey val="0"/>
          <c:showVal val="0"/>
          <c:showCatName val="0"/>
          <c:showSerName val="0"/>
          <c:showPercent val="0"/>
          <c:showBubbleSize val="0"/>
        </c:dLbls>
        <c:hiLowLines>
          <c:spPr>
            <a:ln w="0">
              <a:noFill/>
              <a:prstDash val="solid"/>
            </a:ln>
          </c:spPr>
        </c:hiLowLines>
        <c:smooth val="0"/>
        <c:axId val="25067857"/>
        <c:axId val="58812202"/>
      </c:lineChart>
      <c:catAx>
        <c:axId val="25067857"/>
        <c:scaling>
          <c:orientation val="minMax"/>
        </c:scaling>
        <c:delete val="0"/>
        <c:axPos val="b"/>
        <c:title>
          <c:tx>
            <c:rich>
              <a:bodyPr rot="0"/>
              <a:lstStyle/>
              <a:p>
                <a:pPr>
                  <a:defRPr lang="sv-SE" sz="1000" b="1" strike="noStrike" spc="-1">
                    <a:solidFill>
                      <a:srgbClr val="000000"/>
                    </a:solidFill>
                    <a:latin typeface="Calibri"/>
                  </a:defRPr>
                </a:pPr>
                <a:r>
                  <a:rPr lang="sv-SE" sz="1000" b="1" strike="noStrike" spc="-1">
                    <a:solidFill>
                      <a:srgbClr val="000000"/>
                    </a:solidFill>
                    <a:latin typeface="Calibri"/>
                  </a:rPr>
                  <a:t>År</a:t>
                </a:r>
              </a:p>
            </c:rich>
          </c:tx>
          <c:overlay val="0"/>
          <c:spPr>
            <a:noFill/>
            <a:ln w="0">
              <a:noFill/>
              <a:prstDash val="solid"/>
            </a:ln>
          </c:spPr>
        </c:title>
        <c:numFmt formatCode="0" sourceLinked="0"/>
        <c:majorTickMark val="none"/>
        <c:minorTickMark val="none"/>
        <c:tickLblPos val="nextTo"/>
        <c:spPr>
          <a:ln w="0">
            <a:solidFill>
              <a:srgbClr val="B3B3B3"/>
            </a:solidFill>
            <a:prstDash val="solid"/>
          </a:ln>
        </c:spPr>
        <c:txPr>
          <a:bodyPr/>
          <a:lstStyle/>
          <a:p>
            <a:pPr>
              <a:defRPr sz="1000" b="0" strike="noStrike" spc="-1">
                <a:solidFill>
                  <a:srgbClr val="000000"/>
                </a:solidFill>
                <a:latin typeface="Calibri"/>
              </a:defRPr>
            </a:pPr>
            <a:endParaRPr lang="sv-SE"/>
          </a:p>
        </c:txPr>
        <c:crossAx val="58812202"/>
        <c:crosses val="autoZero"/>
        <c:auto val="1"/>
        <c:lblAlgn val="ctr"/>
        <c:lblOffset val="100"/>
        <c:noMultiLvlLbl val="0"/>
      </c:catAx>
      <c:valAx>
        <c:axId val="58812202"/>
        <c:scaling>
          <c:orientation val="minMax"/>
        </c:scaling>
        <c:delete val="0"/>
        <c:axPos val="l"/>
        <c:majorGridlines>
          <c:spPr>
            <a:ln w="0">
              <a:solidFill>
                <a:srgbClr val="B3B3B3"/>
              </a:solidFill>
              <a:prstDash val="solid"/>
            </a:ln>
          </c:spPr>
        </c:majorGridlines>
        <c:title>
          <c:tx>
            <c:rich>
              <a:bodyPr rot="-5400000"/>
              <a:lstStyle/>
              <a:p>
                <a:pPr>
                  <a:defRPr lang="sv-SE" sz="1000" b="1" strike="noStrike" spc="-1">
                    <a:solidFill>
                      <a:srgbClr val="000000"/>
                    </a:solidFill>
                    <a:latin typeface="Calibri"/>
                  </a:defRPr>
                </a:pPr>
                <a:r>
                  <a:rPr lang="sv-SE" sz="1000" b="1" strike="noStrike" spc="-1">
                    <a:solidFill>
                      <a:srgbClr val="000000"/>
                    </a:solidFill>
                    <a:latin typeface="Calibri"/>
                  </a:rPr>
                  <a:t>MSEK/år</a:t>
                </a:r>
              </a:p>
            </c:rich>
          </c:tx>
          <c:overlay val="0"/>
          <c:spPr>
            <a:noFill/>
            <a:ln w="0">
              <a:noFill/>
              <a:prstDash val="solid"/>
            </a:ln>
          </c:spPr>
        </c:title>
        <c:numFmt formatCode="#,##0.0" sourceLinked="0"/>
        <c:majorTickMark val="none"/>
        <c:minorTickMark val="none"/>
        <c:tickLblPos val="nextTo"/>
        <c:spPr>
          <a:ln w="0">
            <a:solidFill>
              <a:srgbClr val="B3B3B3"/>
            </a:solidFill>
            <a:prstDash val="solid"/>
          </a:ln>
        </c:spPr>
        <c:txPr>
          <a:bodyPr/>
          <a:lstStyle/>
          <a:p>
            <a:pPr>
              <a:defRPr sz="1000" b="0" strike="noStrike" spc="-1">
                <a:solidFill>
                  <a:srgbClr val="000000"/>
                </a:solidFill>
                <a:latin typeface="Calibri"/>
              </a:defRPr>
            </a:pPr>
            <a:endParaRPr lang="sv-SE"/>
          </a:p>
        </c:txPr>
        <c:crossAx val="25067857"/>
        <c:crosses val="autoZero"/>
        <c:crossBetween val="between"/>
      </c:valAx>
    </c:plotArea>
    <c:legend>
      <c:legendPos val="r"/>
      <c:overlay val="0"/>
      <c:spPr>
        <a:noFill/>
        <a:ln w="0">
          <a:noFill/>
          <a:prstDash val="solid"/>
        </a:ln>
      </c:spPr>
      <c:txPr>
        <a:bodyPr/>
        <a:lstStyle/>
        <a:p>
          <a:pPr>
            <a:defRPr sz="1000" b="0" strike="noStrike" spc="-1">
              <a:solidFill>
                <a:srgbClr val="000000"/>
              </a:solidFill>
              <a:latin typeface="Calibri"/>
            </a:defRPr>
          </a:pPr>
          <a:endParaRPr lang="sv-SE"/>
        </a:p>
      </c:txPr>
    </c:legend>
    <c:plotVisOnly val="1"/>
    <c:dispBlanksAs val="zero"/>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85680</xdr:rowOff>
    </xdr:from>
    <xdr:to>
      <xdr:col>8</xdr:col>
      <xdr:colOff>68760</xdr:colOff>
      <xdr:row>51</xdr:row>
      <xdr:rowOff>68400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E78"/>
    <pageSetUpPr fitToPage="1"/>
  </sheetPr>
  <dimension ref="A1:J55"/>
  <sheetViews>
    <sheetView showGridLines="0" tabSelected="1" zoomScaleNormal="100" workbookViewId="0">
      <selection activeCell="D18" sqref="D18"/>
    </sheetView>
  </sheetViews>
  <sheetFormatPr defaultColWidth="8.7109375" defaultRowHeight="15" x14ac:dyDescent="0.25"/>
  <cols>
    <col min="1" max="1" width="32" style="85" customWidth="1"/>
    <col min="2" max="2" width="14" style="85" customWidth="1"/>
    <col min="3" max="3" width="10" style="85" customWidth="1"/>
    <col min="4" max="4" width="31.85546875" style="85" customWidth="1"/>
    <col min="5" max="5" width="14" style="85" customWidth="1"/>
    <col min="6" max="6" width="22.42578125" style="85" customWidth="1"/>
    <col min="7" max="9" width="14" style="85" customWidth="1"/>
  </cols>
  <sheetData>
    <row r="1" spans="1:9" ht="39.75" customHeight="1" x14ac:dyDescent="0.25">
      <c r="A1" s="109" t="s">
        <v>0</v>
      </c>
      <c r="B1" s="110"/>
      <c r="C1" s="110"/>
      <c r="D1" s="110"/>
      <c r="E1" s="110"/>
      <c r="F1" s="110"/>
      <c r="G1" s="110"/>
      <c r="H1" s="110"/>
      <c r="I1" s="110"/>
    </row>
    <row r="2" spans="1:9" ht="34.5" customHeight="1" x14ac:dyDescent="0.25">
      <c r="A2" s="101" t="s">
        <v>1</v>
      </c>
      <c r="B2" s="93"/>
      <c r="C2" s="93"/>
      <c r="D2" s="93"/>
      <c r="E2" s="93"/>
      <c r="F2" s="93"/>
      <c r="G2" s="93"/>
      <c r="H2" s="93"/>
      <c r="I2" s="93"/>
    </row>
    <row r="3" spans="1:9" ht="6.75" customHeight="1" x14ac:dyDescent="0.25"/>
    <row r="4" spans="1:9" ht="24" customHeight="1" x14ac:dyDescent="0.25">
      <c r="A4" s="99" t="s">
        <v>2</v>
      </c>
      <c r="B4" s="100"/>
      <c r="C4" s="100"/>
      <c r="D4" s="100"/>
      <c r="E4" s="100"/>
      <c r="F4" s="100"/>
      <c r="G4" s="100"/>
      <c r="H4" s="100"/>
      <c r="I4" s="100"/>
    </row>
    <row r="5" spans="1:9" ht="7.5" customHeight="1" x14ac:dyDescent="0.25"/>
    <row r="6" spans="1:9" ht="19.5" customHeight="1" x14ac:dyDescent="0.25">
      <c r="A6" s="108" t="s">
        <v>3</v>
      </c>
      <c r="B6" s="93"/>
      <c r="C6" s="93"/>
      <c r="D6" s="108" t="s">
        <v>4</v>
      </c>
      <c r="E6" s="93"/>
      <c r="F6" s="93"/>
    </row>
    <row r="7" spans="1:9" ht="21.75" customHeight="1" x14ac:dyDescent="0.25">
      <c r="A7" s="1" t="s">
        <v>5</v>
      </c>
      <c r="B7" s="2">
        <v>5000</v>
      </c>
      <c r="C7" s="3" t="s">
        <v>6</v>
      </c>
      <c r="D7" s="1" t="s">
        <v>7</v>
      </c>
      <c r="E7" s="4">
        <v>30</v>
      </c>
      <c r="F7" s="5" t="s">
        <v>8</v>
      </c>
    </row>
    <row r="8" spans="1:9" ht="21.75" customHeight="1" x14ac:dyDescent="0.25">
      <c r="A8" s="1" t="s">
        <v>9</v>
      </c>
      <c r="B8" s="2">
        <v>52.2</v>
      </c>
      <c r="C8" s="3" t="s">
        <v>10</v>
      </c>
      <c r="D8" s="1" t="s">
        <v>11</v>
      </c>
      <c r="E8" s="6">
        <v>0.03</v>
      </c>
    </row>
    <row r="9" spans="1:9" ht="21.75" customHeight="1" x14ac:dyDescent="0.25">
      <c r="A9" s="1" t="s">
        <v>12</v>
      </c>
      <c r="B9" s="7">
        <v>0.15</v>
      </c>
      <c r="C9" s="3"/>
      <c r="D9" s="1" t="s">
        <v>13</v>
      </c>
      <c r="E9" s="6">
        <v>0.03</v>
      </c>
      <c r="F9" s="3"/>
    </row>
    <row r="10" spans="1:9" ht="21.75" customHeight="1" x14ac:dyDescent="0.25">
      <c r="A10" s="1" t="s">
        <v>14</v>
      </c>
      <c r="B10" s="7">
        <v>0</v>
      </c>
      <c r="D10" s="1" t="s">
        <v>15</v>
      </c>
      <c r="E10" s="2">
        <v>30</v>
      </c>
      <c r="F10" s="3" t="s">
        <v>8</v>
      </c>
    </row>
    <row r="11" spans="1:9" ht="21.75" customHeight="1" x14ac:dyDescent="0.25">
      <c r="D11" s="1" t="s">
        <v>16</v>
      </c>
      <c r="E11" s="6">
        <v>0.02</v>
      </c>
    </row>
    <row r="12" spans="1:9" ht="21.75" customHeight="1" x14ac:dyDescent="0.25">
      <c r="F12" s="81"/>
    </row>
    <row r="13" spans="1:9" ht="24" customHeight="1" x14ac:dyDescent="0.25">
      <c r="A13" s="81" t="s">
        <v>17</v>
      </c>
      <c r="B13" s="81"/>
      <c r="D13" s="81" t="s">
        <v>18</v>
      </c>
      <c r="E13" s="81"/>
    </row>
    <row r="14" spans="1:9" ht="24" customHeight="1" x14ac:dyDescent="0.25">
      <c r="A14" s="1" t="s">
        <v>19</v>
      </c>
      <c r="B14" s="2">
        <v>950</v>
      </c>
      <c r="C14" s="81"/>
      <c r="D14" s="1" t="s">
        <v>20</v>
      </c>
      <c r="E14" s="2">
        <v>0</v>
      </c>
      <c r="F14" s="3" t="s">
        <v>21</v>
      </c>
    </row>
    <row r="15" spans="1:9" ht="24" customHeight="1" x14ac:dyDescent="0.25">
      <c r="A15" s="1" t="s">
        <v>22</v>
      </c>
      <c r="B15" s="2">
        <v>250</v>
      </c>
      <c r="C15" s="3" t="s">
        <v>23</v>
      </c>
      <c r="D15" s="1" t="s">
        <v>24</v>
      </c>
      <c r="E15" s="8">
        <v>0.5</v>
      </c>
    </row>
    <row r="16" spans="1:9" ht="24" customHeight="1" x14ac:dyDescent="0.25">
      <c r="A16" s="1" t="s">
        <v>25</v>
      </c>
      <c r="B16" s="7">
        <v>0</v>
      </c>
      <c r="C16" s="3" t="s">
        <v>23</v>
      </c>
    </row>
    <row r="17" spans="1:9" ht="21.75" customHeight="1" x14ac:dyDescent="0.25">
      <c r="A17" s="1" t="s">
        <v>26</v>
      </c>
      <c r="B17" s="2">
        <v>0</v>
      </c>
    </row>
    <row r="18" spans="1:9" ht="21.75" customHeight="1" x14ac:dyDescent="0.25">
      <c r="A18" s="1" t="s">
        <v>27</v>
      </c>
      <c r="B18" s="2">
        <v>0</v>
      </c>
      <c r="C18" s="3" t="s">
        <v>21</v>
      </c>
    </row>
    <row r="19" spans="1:9" ht="12" customHeight="1" x14ac:dyDescent="0.25">
      <c r="A19" s="1"/>
      <c r="B19" s="9"/>
      <c r="D19" s="1"/>
      <c r="E19" s="9"/>
    </row>
    <row r="20" spans="1:9" ht="35.25" customHeight="1" x14ac:dyDescent="0.25">
      <c r="A20" s="99" t="s">
        <v>28</v>
      </c>
      <c r="B20" s="100"/>
      <c r="C20" s="100"/>
      <c r="D20" s="100"/>
      <c r="E20" s="100"/>
      <c r="F20" s="100"/>
      <c r="G20" s="100"/>
      <c r="H20" s="100"/>
      <c r="I20" s="100"/>
    </row>
    <row r="21" spans="1:9" ht="30" customHeight="1" x14ac:dyDescent="0.25">
      <c r="A21" s="92" t="s">
        <v>29</v>
      </c>
      <c r="B21" s="93"/>
      <c r="C21" s="92" t="s">
        <v>30</v>
      </c>
      <c r="D21" s="93"/>
      <c r="E21" s="92" t="s">
        <v>31</v>
      </c>
      <c r="F21" s="93"/>
      <c r="G21" s="92" t="s">
        <v>32</v>
      </c>
      <c r="H21" s="93"/>
    </row>
    <row r="22" spans="1:9" ht="48" customHeight="1" x14ac:dyDescent="0.25">
      <c r="A22" s="104">
        <f>'4. Kommunalt ägande'!H62</f>
        <v>300.14999999999998</v>
      </c>
      <c r="B22" s="93"/>
      <c r="C22" s="104">
        <f>'6. Jämförelse'!B11</f>
        <v>465.96768058396185</v>
      </c>
      <c r="D22" s="93"/>
      <c r="E22" s="104" t="str">
        <f>IF($E$14=0,"—",'6. Jämförelse'!B12)</f>
        <v>—</v>
      </c>
      <c r="F22" s="93"/>
      <c r="G22" s="111" t="str">
        <f>IF($E$14=0,"—",'6. Jämförelse'!B11-'6. Jämförelse'!B12)</f>
        <v>—</v>
      </c>
      <c r="H22" s="93"/>
    </row>
    <row r="23" spans="1:9" ht="15.75" customHeight="1" x14ac:dyDescent="0.25">
      <c r="A23" s="97" t="s">
        <v>33</v>
      </c>
      <c r="B23" s="93"/>
      <c r="C23" s="97" t="s">
        <v>33</v>
      </c>
      <c r="D23" s="93"/>
      <c r="E23" s="97" t="s">
        <v>33</v>
      </c>
      <c r="F23" s="93"/>
      <c r="G23" s="97" t="s">
        <v>33</v>
      </c>
      <c r="H23" s="93"/>
    </row>
    <row r="24" spans="1:9" ht="6.75" customHeight="1" x14ac:dyDescent="0.25">
      <c r="A24" s="80"/>
      <c r="B24" s="80"/>
      <c r="C24" s="80"/>
      <c r="D24" s="80"/>
      <c r="E24" s="80"/>
      <c r="F24" s="80"/>
      <c r="G24" s="80"/>
      <c r="H24" s="80"/>
    </row>
    <row r="25" spans="1:9" ht="32.25" customHeight="1" x14ac:dyDescent="0.25">
      <c r="A25" s="94" t="s">
        <v>34</v>
      </c>
      <c r="B25" s="93"/>
      <c r="C25" s="93"/>
      <c r="D25" s="93"/>
      <c r="E25" s="93"/>
      <c r="F25" s="93"/>
      <c r="G25" s="93"/>
      <c r="H25" s="93"/>
      <c r="I25" s="93"/>
    </row>
    <row r="26" spans="1:9" ht="35.25" customHeight="1" x14ac:dyDescent="0.25">
      <c r="A26" s="99" t="s">
        <v>35</v>
      </c>
      <c r="B26" s="100"/>
      <c r="C26" s="100"/>
      <c r="D26" s="100"/>
      <c r="E26" s="100"/>
      <c r="F26" s="100"/>
      <c r="G26" s="100"/>
      <c r="H26" s="100"/>
      <c r="I26" s="100"/>
    </row>
    <row r="27" spans="1:9" ht="18" customHeight="1" x14ac:dyDescent="0.25">
      <c r="A27" s="95" t="s">
        <v>36</v>
      </c>
      <c r="B27" s="96"/>
      <c r="D27" s="95" t="s">
        <v>37</v>
      </c>
      <c r="E27" s="96"/>
      <c r="G27" s="95" t="s">
        <v>38</v>
      </c>
      <c r="H27" s="96"/>
    </row>
    <row r="28" spans="1:9" ht="48" customHeight="1" x14ac:dyDescent="0.25">
      <c r="A28" s="103">
        <f>IFERROR('6. Jämförelse'!$B$11/'5. Extern aktör'!$D$56,"—")</f>
        <v>17.828897246343558</v>
      </c>
      <c r="B28" s="93"/>
      <c r="D28" s="103">
        <f>IFERROR(('6. Jämförelse'!$B$11+0.1*'1. Sammanfattning'!$A$22)/'5. Extern aktör'!$D$56,"—")</f>
        <v>18.977333872202152</v>
      </c>
      <c r="E28" s="93"/>
      <c r="G28" s="103">
        <f>IFERROR(('6. Jämförelse'!$B$11+0.2*'1. Sammanfattning'!$A$22)/'5. Extern aktör'!$D$56,"—")</f>
        <v>20.125770498060749</v>
      </c>
      <c r="H28" s="93"/>
    </row>
    <row r="29" spans="1:9" ht="13.5" customHeight="1" x14ac:dyDescent="0.25">
      <c r="A29" s="106" t="s">
        <v>21</v>
      </c>
      <c r="B29" s="93"/>
      <c r="D29" s="106" t="s">
        <v>21</v>
      </c>
      <c r="E29" s="93"/>
      <c r="G29" s="106" t="s">
        <v>21</v>
      </c>
      <c r="H29" s="93"/>
    </row>
    <row r="30" spans="1:9" ht="48" customHeight="1" x14ac:dyDescent="0.25">
      <c r="D30" s="107" t="str">
        <f>IF($E$14=0,"— (mata in i E14)",$E$14)</f>
        <v>— (mata in i E14)</v>
      </c>
      <c r="E30" s="93"/>
      <c r="F30" s="46"/>
    </row>
    <row r="31" spans="1:9" ht="19.5" customHeight="1" x14ac:dyDescent="0.25">
      <c r="C31" s="10"/>
      <c r="D31" s="98" t="s">
        <v>39</v>
      </c>
      <c r="E31" s="93"/>
      <c r="F31" s="10"/>
    </row>
    <row r="32" spans="1:9" ht="9" customHeight="1" x14ac:dyDescent="0.25">
      <c r="C32" s="102" t="s">
        <v>40</v>
      </c>
      <c r="D32" s="93"/>
      <c r="E32" s="93"/>
      <c r="F32" s="93"/>
      <c r="G32" s="93"/>
    </row>
    <row r="33" spans="1:9" ht="15" customHeight="1" x14ac:dyDescent="0.25">
      <c r="C33" s="93"/>
      <c r="D33" s="93"/>
      <c r="E33" s="93"/>
      <c r="F33" s="93"/>
      <c r="G33" s="93"/>
    </row>
    <row r="34" spans="1:9" ht="35.25" customHeight="1" x14ac:dyDescent="0.25">
      <c r="A34" s="105" t="s">
        <v>41</v>
      </c>
      <c r="B34" s="100"/>
      <c r="C34" s="100"/>
      <c r="D34" s="100"/>
      <c r="E34" s="100"/>
      <c r="F34" s="100"/>
      <c r="G34" s="100"/>
      <c r="H34" s="100"/>
      <c r="I34" s="100"/>
    </row>
    <row r="51" spans="1:10" ht="15.75" customHeight="1" x14ac:dyDescent="0.25"/>
    <row r="52" spans="1:10" ht="15" customHeight="1" x14ac:dyDescent="0.25">
      <c r="A52" s="11"/>
      <c r="B52" s="47"/>
      <c r="C52" s="47"/>
      <c r="D52" s="48"/>
      <c r="E52" s="11"/>
      <c r="F52" s="11"/>
      <c r="G52" s="11"/>
      <c r="H52" s="11"/>
      <c r="I52" s="11"/>
      <c r="J52" s="11"/>
    </row>
    <row r="53" spans="1:10" ht="15" customHeight="1" x14ac:dyDescent="0.25">
      <c r="A53" s="11"/>
      <c r="B53" s="12"/>
      <c r="C53" s="12"/>
      <c r="D53" s="49"/>
      <c r="E53" s="11"/>
      <c r="F53" s="11"/>
      <c r="G53" s="11"/>
      <c r="H53" s="11"/>
      <c r="I53" s="11"/>
      <c r="J53" s="11"/>
    </row>
    <row r="54" spans="1:10" ht="15" customHeight="1" x14ac:dyDescent="0.25">
      <c r="A54" s="11"/>
      <c r="B54" s="12"/>
      <c r="C54" s="12"/>
      <c r="D54" s="49"/>
      <c r="E54" s="11"/>
      <c r="F54" s="11"/>
      <c r="G54" s="11"/>
      <c r="H54" s="11"/>
      <c r="I54" s="11"/>
      <c r="J54" s="11"/>
    </row>
    <row r="55" spans="1:10" ht="15" customHeight="1" x14ac:dyDescent="0.25">
      <c r="A55" s="11"/>
      <c r="B55" s="11"/>
      <c r="C55" s="11"/>
      <c r="D55" s="11"/>
      <c r="E55" s="11"/>
      <c r="F55" s="11"/>
      <c r="G55" s="11"/>
      <c r="H55" s="11"/>
      <c r="I55" s="11"/>
      <c r="J55" s="11"/>
    </row>
  </sheetData>
  <mergeCells count="33">
    <mergeCell ref="A1:I1"/>
    <mergeCell ref="E22:F22"/>
    <mergeCell ref="G22:H22"/>
    <mergeCell ref="D6:F6"/>
    <mergeCell ref="E21:F21"/>
    <mergeCell ref="A34:I34"/>
    <mergeCell ref="C23:D23"/>
    <mergeCell ref="A22:B22"/>
    <mergeCell ref="G29:H29"/>
    <mergeCell ref="A29:B29"/>
    <mergeCell ref="D30:E30"/>
    <mergeCell ref="D29:E29"/>
    <mergeCell ref="A28:B28"/>
    <mergeCell ref="D31:E31"/>
    <mergeCell ref="A26:I26"/>
    <mergeCell ref="A2:I2"/>
    <mergeCell ref="C32:G33"/>
    <mergeCell ref="D27:E27"/>
    <mergeCell ref="G28:H28"/>
    <mergeCell ref="C22:D22"/>
    <mergeCell ref="A27:B27"/>
    <mergeCell ref="A4:I4"/>
    <mergeCell ref="A20:I20"/>
    <mergeCell ref="A21:B21"/>
    <mergeCell ref="C21:D21"/>
    <mergeCell ref="D28:E28"/>
    <mergeCell ref="A23:B23"/>
    <mergeCell ref="A6:C6"/>
    <mergeCell ref="G21:H21"/>
    <mergeCell ref="A25:I25"/>
    <mergeCell ref="G27:H27"/>
    <mergeCell ref="E23:F23"/>
    <mergeCell ref="G23:H23"/>
  </mergeCells>
  <printOptions horizontalCentered="1"/>
  <pageMargins left="0.39374999999999999" right="0.39374999999999999" top="0.59027777777777801" bottom="0.59027777777777801" header="0.511811023622047" footer="0.511811023622047"/>
  <pageSetup paperSize="9" scale="57"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4"/>
  <sheetViews>
    <sheetView zoomScaleNormal="100" workbookViewId="0"/>
  </sheetViews>
  <sheetFormatPr defaultColWidth="8.7109375" defaultRowHeight="15" x14ac:dyDescent="0.25"/>
  <cols>
    <col min="1" max="1" width="40" style="85" customWidth="1"/>
    <col min="2" max="2" width="25.42578125" style="85" customWidth="1"/>
    <col min="3" max="3" width="11" style="85" customWidth="1"/>
    <col min="4" max="4" width="10" style="85" customWidth="1"/>
    <col min="5" max="5" width="8" style="85" customWidth="1"/>
    <col min="6" max="6" width="28" style="85" customWidth="1"/>
    <col min="7" max="7" width="10" style="85" customWidth="1"/>
    <col min="8" max="8" width="9" style="85" customWidth="1"/>
    <col min="9" max="9" width="11" style="85" customWidth="1"/>
    <col min="10" max="10" width="13" style="85" customWidth="1"/>
  </cols>
  <sheetData>
    <row r="1" spans="1:10" ht="30.75" customHeight="1" x14ac:dyDescent="0.25">
      <c r="A1" s="13" t="s">
        <v>42</v>
      </c>
      <c r="B1" s="87"/>
      <c r="C1" s="87"/>
      <c r="D1" s="87"/>
      <c r="E1" s="87"/>
      <c r="F1" s="13"/>
      <c r="G1" s="87"/>
      <c r="H1" s="87"/>
      <c r="I1" s="87"/>
      <c r="J1" s="87"/>
    </row>
    <row r="2" spans="1:10" ht="54.75" customHeight="1" x14ac:dyDescent="0.25">
      <c r="A2" s="112" t="s">
        <v>43</v>
      </c>
      <c r="B2" s="93"/>
      <c r="C2" s="93"/>
      <c r="D2" s="93"/>
      <c r="E2" s="93"/>
      <c r="F2" s="93"/>
      <c r="G2" s="93"/>
      <c r="H2" s="93"/>
      <c r="I2" s="93"/>
      <c r="J2" s="93"/>
    </row>
    <row r="3" spans="1:10" ht="16.5" customHeight="1" x14ac:dyDescent="0.25">
      <c r="A3" s="115" t="s">
        <v>44</v>
      </c>
      <c r="B3" s="93"/>
    </row>
    <row r="4" spans="1:10" ht="15" customHeight="1" x14ac:dyDescent="0.25">
      <c r="A4" s="114" t="s">
        <v>45</v>
      </c>
      <c r="B4" s="93"/>
      <c r="C4" s="93"/>
      <c r="D4" s="93"/>
      <c r="E4" s="93"/>
      <c r="F4" s="93"/>
      <c r="G4" s="93"/>
      <c r="H4" s="93"/>
      <c r="I4" s="93"/>
      <c r="J4" s="93"/>
    </row>
    <row r="6" spans="1:10" ht="15" customHeight="1" x14ac:dyDescent="0.25">
      <c r="A6" s="14" t="s">
        <v>46</v>
      </c>
      <c r="B6" s="14" t="s">
        <v>47</v>
      </c>
    </row>
    <row r="7" spans="1:10" ht="15" customHeight="1" x14ac:dyDescent="0.25">
      <c r="A7" s="15">
        <v>2014</v>
      </c>
      <c r="B7" s="15">
        <v>1217.7</v>
      </c>
    </row>
    <row r="8" spans="1:10" ht="15" customHeight="1" x14ac:dyDescent="0.25">
      <c r="A8" s="15">
        <v>2015</v>
      </c>
      <c r="B8" s="15">
        <v>1234.2</v>
      </c>
    </row>
    <row r="9" spans="1:10" ht="15" customHeight="1" x14ac:dyDescent="0.25">
      <c r="A9" s="15">
        <v>2016</v>
      </c>
      <c r="B9" s="15">
        <v>1255.8</v>
      </c>
    </row>
    <row r="10" spans="1:10" ht="15" customHeight="1" x14ac:dyDescent="0.25">
      <c r="A10" s="15">
        <v>2017</v>
      </c>
      <c r="B10" s="15">
        <v>1288.4000000000001</v>
      </c>
    </row>
    <row r="11" spans="1:10" ht="15" customHeight="1" x14ac:dyDescent="0.25">
      <c r="A11" s="15">
        <v>2018</v>
      </c>
      <c r="B11" s="15">
        <v>1330.3</v>
      </c>
    </row>
    <row r="12" spans="1:10" ht="15" customHeight="1" x14ac:dyDescent="0.25">
      <c r="A12" s="15">
        <v>2019</v>
      </c>
      <c r="B12" s="15">
        <v>1377.4</v>
      </c>
    </row>
    <row r="13" spans="1:10" ht="15" customHeight="1" x14ac:dyDescent="0.25">
      <c r="A13" s="15">
        <v>2020</v>
      </c>
      <c r="B13" s="15">
        <v>1383.5</v>
      </c>
    </row>
    <row r="14" spans="1:10" ht="15" customHeight="1" x14ac:dyDescent="0.25">
      <c r="A14" s="15">
        <v>2021</v>
      </c>
      <c r="B14" s="15">
        <v>1468.7</v>
      </c>
    </row>
    <row r="15" spans="1:10" ht="15" customHeight="1" x14ac:dyDescent="0.25">
      <c r="A15" s="15">
        <v>2022</v>
      </c>
      <c r="B15" s="15">
        <v>1659.2</v>
      </c>
    </row>
    <row r="16" spans="1:10" ht="15" customHeight="1" x14ac:dyDescent="0.25">
      <c r="A16" s="15">
        <v>2023</v>
      </c>
      <c r="B16" s="15">
        <v>1829.9</v>
      </c>
    </row>
    <row r="17" spans="1:10" ht="15" customHeight="1" x14ac:dyDescent="0.25">
      <c r="A17" s="15">
        <v>2024</v>
      </c>
      <c r="B17" s="15">
        <v>1859.2</v>
      </c>
    </row>
    <row r="18" spans="1:10" ht="15" customHeight="1" x14ac:dyDescent="0.25">
      <c r="A18" s="15">
        <v>2025</v>
      </c>
      <c r="B18" s="15">
        <v>1857.8</v>
      </c>
    </row>
    <row r="19" spans="1:10" ht="15" customHeight="1" x14ac:dyDescent="0.25">
      <c r="A19" s="15">
        <v>2026</v>
      </c>
      <c r="B19" s="15">
        <v>1881.2</v>
      </c>
    </row>
    <row r="22" spans="1:10" ht="15" customHeight="1" x14ac:dyDescent="0.25">
      <c r="A22" s="113" t="s">
        <v>48</v>
      </c>
      <c r="B22" s="93"/>
      <c r="C22" s="93"/>
      <c r="D22" s="93"/>
      <c r="E22" s="93"/>
      <c r="F22" s="93"/>
      <c r="G22" s="93"/>
      <c r="H22" s="93"/>
      <c r="I22" s="93"/>
      <c r="J22" s="93"/>
    </row>
    <row r="23" spans="1:10" ht="45" customHeight="1" x14ac:dyDescent="0.25">
      <c r="A23" s="112" t="s">
        <v>49</v>
      </c>
      <c r="B23" s="93"/>
      <c r="C23" s="93"/>
      <c r="D23" s="93"/>
      <c r="E23" s="93"/>
      <c r="F23" s="93"/>
      <c r="G23" s="93"/>
      <c r="H23" s="93"/>
      <c r="I23" s="93"/>
      <c r="J23" s="93"/>
    </row>
    <row r="24" spans="1:10" ht="30" customHeight="1" x14ac:dyDescent="0.25">
      <c r="A24" s="14" t="s">
        <v>50</v>
      </c>
      <c r="B24" s="14" t="s">
        <v>51</v>
      </c>
      <c r="C24" s="14" t="s">
        <v>52</v>
      </c>
      <c r="D24" s="14" t="s">
        <v>53</v>
      </c>
      <c r="E24" s="14" t="s">
        <v>46</v>
      </c>
      <c r="F24" s="14" t="s">
        <v>54</v>
      </c>
      <c r="G24" s="14" t="s">
        <v>55</v>
      </c>
      <c r="H24" s="14" t="s">
        <v>56</v>
      </c>
      <c r="I24" s="14" t="s">
        <v>57</v>
      </c>
      <c r="J24" s="14" t="s">
        <v>58</v>
      </c>
    </row>
    <row r="25" spans="1:10" ht="15" customHeight="1" x14ac:dyDescent="0.25">
      <c r="A25" s="16" t="s">
        <v>59</v>
      </c>
      <c r="B25" s="16" t="s">
        <v>60</v>
      </c>
      <c r="C25" s="17">
        <v>10300</v>
      </c>
      <c r="D25" s="15">
        <v>330</v>
      </c>
      <c r="E25" s="15">
        <v>2014</v>
      </c>
      <c r="F25" s="16" t="s">
        <v>61</v>
      </c>
      <c r="G25" s="18">
        <f t="shared" ref="G25:G37" si="0">D25*1000/C25</f>
        <v>32.038834951456309</v>
      </c>
      <c r="H25" s="16">
        <f t="shared" ref="H25:H37" si="1">VLOOKUP(E25,$A$7:$B$19,2,FALSE())</f>
        <v>1217.7</v>
      </c>
      <c r="I25" s="19">
        <f t="shared" ref="I25:I37" si="2">G25*($B$19/H25)</f>
        <v>49.496145446891362</v>
      </c>
      <c r="J25" s="19">
        <f>I25*(1+'1. Sammanfattning'!$B$9)</f>
        <v>56.920567263925058</v>
      </c>
    </row>
    <row r="26" spans="1:10" ht="15" customHeight="1" x14ac:dyDescent="0.25">
      <c r="A26" s="16" t="s">
        <v>62</v>
      </c>
      <c r="B26" s="16" t="s">
        <v>63</v>
      </c>
      <c r="C26" s="17">
        <v>9300</v>
      </c>
      <c r="D26" s="15">
        <v>350</v>
      </c>
      <c r="E26" s="15">
        <v>2019</v>
      </c>
      <c r="F26" s="16" t="s">
        <v>61</v>
      </c>
      <c r="G26" s="18">
        <f t="shared" si="0"/>
        <v>37.634408602150536</v>
      </c>
      <c r="H26" s="16">
        <f t="shared" si="1"/>
        <v>1377.4</v>
      </c>
      <c r="I26" s="19">
        <f t="shared" si="2"/>
        <v>51.399629346860451</v>
      </c>
      <c r="J26" s="19">
        <f>I26*(1+'1. Sammanfattning'!$B$9)</f>
        <v>59.109573748889517</v>
      </c>
    </row>
    <row r="27" spans="1:10" ht="15" customHeight="1" x14ac:dyDescent="0.25">
      <c r="A27" s="16" t="s">
        <v>64</v>
      </c>
      <c r="B27" s="16" t="s">
        <v>63</v>
      </c>
      <c r="C27" s="17">
        <v>10500</v>
      </c>
      <c r="D27" s="15">
        <v>450</v>
      </c>
      <c r="E27" s="15">
        <v>2020</v>
      </c>
      <c r="F27" s="16" t="s">
        <v>65</v>
      </c>
      <c r="G27" s="18">
        <f t="shared" si="0"/>
        <v>42.857142857142854</v>
      </c>
      <c r="H27" s="16">
        <f t="shared" si="1"/>
        <v>1383.5</v>
      </c>
      <c r="I27" s="19">
        <f t="shared" si="2"/>
        <v>58.274562445144298</v>
      </c>
      <c r="J27" s="19">
        <f>I27*(1+'1. Sammanfattning'!$B$9)</f>
        <v>67.015746811915932</v>
      </c>
    </row>
    <row r="28" spans="1:10" ht="15" customHeight="1" x14ac:dyDescent="0.25">
      <c r="A28" s="16" t="s">
        <v>66</v>
      </c>
      <c r="B28" s="16" t="s">
        <v>63</v>
      </c>
      <c r="C28" s="17">
        <v>4500</v>
      </c>
      <c r="D28" s="15">
        <v>230</v>
      </c>
      <c r="E28" s="15">
        <v>2021</v>
      </c>
      <c r="F28" s="16" t="s">
        <v>61</v>
      </c>
      <c r="G28" s="18">
        <f t="shared" si="0"/>
        <v>51.111111111111114</v>
      </c>
      <c r="H28" s="16">
        <f t="shared" si="1"/>
        <v>1468.7</v>
      </c>
      <c r="I28" s="19">
        <f t="shared" si="2"/>
        <v>65.466209724397245</v>
      </c>
      <c r="J28" s="19">
        <f>I28*(1+'1. Sammanfattning'!$B$9)</f>
        <v>75.286141183056827</v>
      </c>
    </row>
    <row r="29" spans="1:10" ht="15" customHeight="1" x14ac:dyDescent="0.25">
      <c r="A29" s="16" t="s">
        <v>67</v>
      </c>
      <c r="B29" s="16" t="s">
        <v>63</v>
      </c>
      <c r="C29" s="17">
        <v>6000</v>
      </c>
      <c r="D29" s="15">
        <v>310</v>
      </c>
      <c r="E29" s="15">
        <v>2022</v>
      </c>
      <c r="F29" s="16" t="s">
        <v>61</v>
      </c>
      <c r="G29" s="18">
        <f t="shared" si="0"/>
        <v>51.666666666666664</v>
      </c>
      <c r="H29" s="16">
        <f t="shared" si="1"/>
        <v>1659.2</v>
      </c>
      <c r="I29" s="19">
        <f t="shared" si="2"/>
        <v>58.579636772741885</v>
      </c>
      <c r="J29" s="19">
        <f>I29*(1+'1. Sammanfattning'!$B$9)</f>
        <v>67.366582288653163</v>
      </c>
    </row>
    <row r="30" spans="1:10" ht="15" customHeight="1" x14ac:dyDescent="0.25">
      <c r="A30" s="16" t="s">
        <v>68</v>
      </c>
      <c r="B30" s="16" t="s">
        <v>69</v>
      </c>
      <c r="C30" s="17">
        <v>3492</v>
      </c>
      <c r="D30" s="15">
        <v>265</v>
      </c>
      <c r="E30" s="15">
        <v>2023</v>
      </c>
      <c r="F30" s="16" t="s">
        <v>70</v>
      </c>
      <c r="G30" s="18">
        <f t="shared" si="0"/>
        <v>75.887743413516603</v>
      </c>
      <c r="H30" s="16">
        <f t="shared" si="1"/>
        <v>1829.9</v>
      </c>
      <c r="I30" s="19">
        <f t="shared" si="2"/>
        <v>78.015204606539939</v>
      </c>
      <c r="J30" s="19">
        <f>I30*(1+'1. Sammanfattning'!$B$9)</f>
        <v>89.717485297520923</v>
      </c>
    </row>
    <row r="31" spans="1:10" ht="15" customHeight="1" x14ac:dyDescent="0.25">
      <c r="A31" s="16" t="s">
        <v>71</v>
      </c>
      <c r="B31" s="16" t="s">
        <v>60</v>
      </c>
      <c r="C31" s="17">
        <v>3500</v>
      </c>
      <c r="D31" s="15">
        <v>200</v>
      </c>
      <c r="E31" s="15">
        <v>2025</v>
      </c>
      <c r="F31" s="16" t="s">
        <v>61</v>
      </c>
      <c r="G31" s="18">
        <f t="shared" si="0"/>
        <v>57.142857142857146</v>
      </c>
      <c r="H31" s="16">
        <f t="shared" si="1"/>
        <v>1857.8</v>
      </c>
      <c r="I31" s="19">
        <f t="shared" si="2"/>
        <v>57.862602463743599</v>
      </c>
      <c r="J31" s="19">
        <f>I31*(1+'1. Sammanfattning'!$B$9)</f>
        <v>66.54199283330513</v>
      </c>
    </row>
    <row r="32" spans="1:10" ht="15" customHeight="1" x14ac:dyDescent="0.25">
      <c r="A32" s="44" t="s">
        <v>72</v>
      </c>
      <c r="B32" s="44" t="s">
        <v>60</v>
      </c>
      <c r="C32" s="61">
        <v>8250</v>
      </c>
      <c r="D32" s="62">
        <v>290</v>
      </c>
      <c r="E32" s="62">
        <v>2019</v>
      </c>
      <c r="F32" s="44" t="s">
        <v>61</v>
      </c>
      <c r="G32" s="63">
        <f t="shared" si="0"/>
        <v>35.151515151515149</v>
      </c>
      <c r="H32" s="44">
        <f t="shared" si="1"/>
        <v>1377.4</v>
      </c>
      <c r="I32" s="64">
        <f t="shared" si="2"/>
        <v>48.008588865275371</v>
      </c>
      <c r="J32" s="64">
        <f>I32*(1+'1. Sammanfattning'!$B$9)</f>
        <v>55.209877195066674</v>
      </c>
    </row>
    <row r="33" spans="1:10" ht="15" customHeight="1" x14ac:dyDescent="0.25">
      <c r="A33" s="44" t="s">
        <v>73</v>
      </c>
      <c r="B33" s="44" t="s">
        <v>60</v>
      </c>
      <c r="C33" s="61">
        <v>5400</v>
      </c>
      <c r="D33" s="62">
        <v>220</v>
      </c>
      <c r="E33" s="62">
        <v>2019</v>
      </c>
      <c r="F33" s="44" t="s">
        <v>61</v>
      </c>
      <c r="G33" s="63">
        <f t="shared" si="0"/>
        <v>40.74074074074074</v>
      </c>
      <c r="H33" s="44">
        <f t="shared" si="1"/>
        <v>1377.4</v>
      </c>
      <c r="I33" s="64">
        <f t="shared" si="2"/>
        <v>55.642138435807659</v>
      </c>
      <c r="J33" s="64">
        <f>I33*(1+'1. Sammanfattning'!$B$9)</f>
        <v>63.988459201178806</v>
      </c>
    </row>
    <row r="34" spans="1:10" ht="15" customHeight="1" x14ac:dyDescent="0.25">
      <c r="A34" s="44" t="s">
        <v>74</v>
      </c>
      <c r="B34" s="44" t="s">
        <v>69</v>
      </c>
      <c r="C34" s="61">
        <v>7100</v>
      </c>
      <c r="D34" s="62">
        <v>292.5</v>
      </c>
      <c r="E34" s="62">
        <v>2020</v>
      </c>
      <c r="F34" s="44" t="s">
        <v>61</v>
      </c>
      <c r="G34" s="63">
        <f t="shared" si="0"/>
        <v>41.197183098591552</v>
      </c>
      <c r="H34" s="44">
        <f t="shared" si="1"/>
        <v>1383.5</v>
      </c>
      <c r="I34" s="64">
        <f t="shared" si="2"/>
        <v>56.01744911100139</v>
      </c>
      <c r="J34" s="64">
        <f>I34*(1+'1. Sammanfattning'!$B$9)</f>
        <v>64.420066477651588</v>
      </c>
    </row>
    <row r="35" spans="1:10" ht="15" customHeight="1" x14ac:dyDescent="0.25">
      <c r="A35" s="44" t="s">
        <v>75</v>
      </c>
      <c r="B35" s="44" t="s">
        <v>76</v>
      </c>
      <c r="C35" s="61">
        <v>3600</v>
      </c>
      <c r="D35" s="62">
        <v>137</v>
      </c>
      <c r="E35" s="62">
        <v>2021</v>
      </c>
      <c r="F35" s="44" t="s">
        <v>61</v>
      </c>
      <c r="G35" s="63">
        <f t="shared" si="0"/>
        <v>38.055555555555557</v>
      </c>
      <c r="H35" s="44">
        <f t="shared" si="1"/>
        <v>1468.7</v>
      </c>
      <c r="I35" s="64">
        <f t="shared" si="2"/>
        <v>48.743862675230559</v>
      </c>
      <c r="J35" s="64">
        <f>I35*(1+'1. Sammanfattning'!$B$9)</f>
        <v>56.055442076515142</v>
      </c>
    </row>
    <row r="36" spans="1:10" ht="15" customHeight="1" x14ac:dyDescent="0.25">
      <c r="A36" s="44" t="s">
        <v>77</v>
      </c>
      <c r="B36" s="44" t="s">
        <v>60</v>
      </c>
      <c r="C36" s="61">
        <v>3700</v>
      </c>
      <c r="D36" s="62">
        <v>190</v>
      </c>
      <c r="E36" s="62">
        <v>2021</v>
      </c>
      <c r="F36" s="44" t="s">
        <v>61</v>
      </c>
      <c r="G36" s="63">
        <f t="shared" si="0"/>
        <v>51.351351351351354</v>
      </c>
      <c r="H36" s="44">
        <f t="shared" si="1"/>
        <v>1468.7</v>
      </c>
      <c r="I36" s="64">
        <f t="shared" si="2"/>
        <v>65.773923988671726</v>
      </c>
      <c r="J36" s="64">
        <f>I36*(1+'1. Sammanfattning'!$B$9)</f>
        <v>75.640012586972475</v>
      </c>
    </row>
    <row r="37" spans="1:10" ht="15" customHeight="1" x14ac:dyDescent="0.25">
      <c r="A37" s="44" t="s">
        <v>78</v>
      </c>
      <c r="B37" s="44" t="s">
        <v>69</v>
      </c>
      <c r="C37" s="61">
        <v>7500</v>
      </c>
      <c r="D37" s="62">
        <v>376.37</v>
      </c>
      <c r="E37" s="62">
        <v>2023</v>
      </c>
      <c r="F37" s="44" t="s">
        <v>61</v>
      </c>
      <c r="G37" s="63">
        <f t="shared" si="0"/>
        <v>50.18266666666667</v>
      </c>
      <c r="H37" s="44">
        <f t="shared" si="1"/>
        <v>1829.9</v>
      </c>
      <c r="I37" s="64">
        <f t="shared" si="2"/>
        <v>51.589503542998713</v>
      </c>
      <c r="J37" s="64">
        <f>I37*(1+'1. Sammanfattning'!$B$9)</f>
        <v>59.327929074448512</v>
      </c>
    </row>
    <row r="38" spans="1:10" ht="15" customHeight="1" x14ac:dyDescent="0.25">
      <c r="A38" s="20"/>
      <c r="B38" s="20"/>
      <c r="C38" s="20"/>
      <c r="D38" s="20"/>
      <c r="E38" s="20"/>
      <c r="F38" s="20"/>
      <c r="G38" s="21"/>
      <c r="H38" s="50"/>
      <c r="I38" s="21"/>
      <c r="J38" s="21"/>
    </row>
    <row r="39" spans="1:10" ht="15" customHeight="1" x14ac:dyDescent="0.25">
      <c r="A39" s="22" t="s">
        <v>79</v>
      </c>
      <c r="B39" s="23" t="s">
        <v>80</v>
      </c>
      <c r="C39" s="24">
        <f>'1. Sammanfattning'!B7</f>
        <v>5000</v>
      </c>
      <c r="D39" s="25">
        <f>'1. Sammanfattning'!B7*'1. Sammanfattning'!B8/1000</f>
        <v>261</v>
      </c>
      <c r="E39" s="24">
        <v>2026</v>
      </c>
      <c r="F39" s="26" t="s">
        <v>81</v>
      </c>
      <c r="G39" s="27">
        <f>D39*1000/C39</f>
        <v>52.2</v>
      </c>
      <c r="H39" s="51">
        <f>VLOOKUP(E39,$A$7:$B$19,2,FALSE())</f>
        <v>1881.2</v>
      </c>
      <c r="I39" s="28">
        <f>G39*($B$19/H39)</f>
        <v>52.2</v>
      </c>
      <c r="J39" s="28">
        <f>I39*(1+'1. Sammanfattning'!$B$9)</f>
        <v>60.03</v>
      </c>
    </row>
    <row r="40" spans="1:10" ht="15" customHeight="1" x14ac:dyDescent="0.25">
      <c r="A40" s="20"/>
      <c r="B40" s="20"/>
      <c r="C40" s="20"/>
      <c r="D40" s="20"/>
      <c r="E40" s="20"/>
      <c r="F40" s="20"/>
      <c r="G40" s="21"/>
      <c r="H40" s="50"/>
      <c r="I40" s="21"/>
      <c r="J40" s="21"/>
    </row>
    <row r="41" spans="1:10" ht="15" customHeight="1" x14ac:dyDescent="0.25">
      <c r="A41" s="29" t="s">
        <v>82</v>
      </c>
      <c r="B41" s="20"/>
      <c r="C41" s="20"/>
      <c r="D41" s="30"/>
      <c r="E41" s="20"/>
      <c r="F41" s="20"/>
      <c r="G41" s="21"/>
      <c r="H41" s="50"/>
      <c r="I41" s="21"/>
      <c r="J41" s="21"/>
    </row>
    <row r="42" spans="1:10" ht="15" customHeight="1" x14ac:dyDescent="0.25">
      <c r="A42" s="31" t="s">
        <v>83</v>
      </c>
    </row>
    <row r="43" spans="1:10" ht="15" customHeight="1" x14ac:dyDescent="0.25">
      <c r="A43" s="31" t="s">
        <v>84</v>
      </c>
    </row>
    <row r="44" spans="1:10" ht="15" customHeight="1" x14ac:dyDescent="0.25">
      <c r="A44" s="31" t="s">
        <v>85</v>
      </c>
    </row>
    <row r="45" spans="1:10" ht="15" customHeight="1" x14ac:dyDescent="0.25">
      <c r="A45" s="31" t="s">
        <v>86</v>
      </c>
    </row>
    <row r="46" spans="1:10" ht="15" customHeight="1" x14ac:dyDescent="0.25">
      <c r="A46" s="31" t="s">
        <v>87</v>
      </c>
    </row>
    <row r="47" spans="1:10" ht="15" customHeight="1" x14ac:dyDescent="0.25">
      <c r="A47" s="31" t="s">
        <v>88</v>
      </c>
    </row>
    <row r="48" spans="1:10" ht="15" customHeight="1" x14ac:dyDescent="0.25">
      <c r="A48" s="31" t="s">
        <v>89</v>
      </c>
    </row>
    <row r="49" spans="1:1" x14ac:dyDescent="0.25">
      <c r="A49" s="31" t="s">
        <v>90</v>
      </c>
    </row>
    <row r="50" spans="1:1" x14ac:dyDescent="0.25">
      <c r="A50" s="31" t="s">
        <v>91</v>
      </c>
    </row>
    <row r="51" spans="1:1" x14ac:dyDescent="0.25">
      <c r="A51" s="31" t="s">
        <v>92</v>
      </c>
    </row>
    <row r="52" spans="1:1" x14ac:dyDescent="0.25">
      <c r="A52" s="31" t="s">
        <v>93</v>
      </c>
    </row>
    <row r="53" spans="1:1" x14ac:dyDescent="0.25">
      <c r="A53" s="31" t="s">
        <v>94</v>
      </c>
    </row>
    <row r="54" spans="1:1" x14ac:dyDescent="0.25">
      <c r="A54" s="31" t="s">
        <v>95</v>
      </c>
    </row>
  </sheetData>
  <mergeCells count="5">
    <mergeCell ref="A23:J23"/>
    <mergeCell ref="A22:J22"/>
    <mergeCell ref="A4:J4"/>
    <mergeCell ref="A2:J2"/>
    <mergeCell ref="A3:B3"/>
  </mergeCells>
  <pageMargins left="0.55138888888888904" right="0.55138888888888904" top="0.39374999999999999" bottom="0.39374999999999999" header="0.511811023622047" footer="0.511811023622047"/>
  <pageSetup paperSize="9" scale="75"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showGridLines="0" zoomScaleNormal="100" workbookViewId="0">
      <pane ySplit="5" topLeftCell="A6" activePane="bottomLeft" state="frozen"/>
      <selection pane="bottomLeft" sqref="A1:E1"/>
    </sheetView>
  </sheetViews>
  <sheetFormatPr defaultColWidth="8.7109375" defaultRowHeight="15" x14ac:dyDescent="0.25"/>
  <cols>
    <col min="1" max="1" width="32" style="85" customWidth="1"/>
    <col min="2" max="2" width="10" style="85" customWidth="1"/>
    <col min="3" max="3" width="26" style="85" customWidth="1"/>
    <col min="4" max="4" width="34" style="85" customWidth="1"/>
    <col min="5" max="5" width="58" style="85" customWidth="1"/>
    <col min="6" max="6" width="60" style="85" customWidth="1"/>
  </cols>
  <sheetData>
    <row r="1" spans="1:7" ht="31.5" customHeight="1" x14ac:dyDescent="0.25">
      <c r="A1" s="119" t="s">
        <v>96</v>
      </c>
      <c r="B1" s="110"/>
      <c r="C1" s="110"/>
      <c r="D1" s="110"/>
      <c r="E1" s="110"/>
      <c r="F1" s="110"/>
      <c r="G1" s="60"/>
    </row>
    <row r="2" spans="1:7" ht="60" customHeight="1" x14ac:dyDescent="0.25">
      <c r="A2" s="117" t="s">
        <v>97</v>
      </c>
      <c r="B2" s="93"/>
      <c r="C2" s="93"/>
      <c r="D2" s="93"/>
      <c r="E2" s="93"/>
      <c r="F2" s="93"/>
      <c r="G2" s="60"/>
    </row>
    <row r="3" spans="1:7" x14ac:dyDescent="0.25">
      <c r="A3" s="60"/>
      <c r="B3" s="60"/>
      <c r="C3" s="60"/>
      <c r="D3" s="60"/>
      <c r="E3" s="60"/>
      <c r="F3" s="60"/>
      <c r="G3" s="60"/>
    </row>
    <row r="4" spans="1:7" ht="15" customHeight="1" x14ac:dyDescent="0.25">
      <c r="A4" s="120" t="s">
        <v>98</v>
      </c>
      <c r="B4" s="93"/>
      <c r="C4" s="93"/>
      <c r="D4" s="93"/>
      <c r="E4" s="93"/>
      <c r="F4" s="93"/>
      <c r="G4" s="60"/>
    </row>
    <row r="5" spans="1:7" ht="36" customHeight="1" x14ac:dyDescent="0.25">
      <c r="A5" s="14" t="s">
        <v>99</v>
      </c>
      <c r="B5" s="14" t="s">
        <v>100</v>
      </c>
      <c r="C5" s="14" t="s">
        <v>101</v>
      </c>
      <c r="D5" s="14" t="s">
        <v>102</v>
      </c>
      <c r="E5" s="14" t="s">
        <v>103</v>
      </c>
      <c r="F5" s="71" t="s">
        <v>104</v>
      </c>
      <c r="G5" s="60"/>
    </row>
    <row r="6" spans="1:7" ht="56.1" customHeight="1" x14ac:dyDescent="0.25">
      <c r="A6" s="65" t="s">
        <v>105</v>
      </c>
      <c r="B6" s="66">
        <v>1</v>
      </c>
      <c r="C6" s="67" t="s">
        <v>106</v>
      </c>
      <c r="D6" s="67" t="s">
        <v>107</v>
      </c>
      <c r="E6" s="65" t="s">
        <v>108</v>
      </c>
      <c r="F6" s="65" t="s">
        <v>109</v>
      </c>
      <c r="G6" s="60"/>
    </row>
    <row r="7" spans="1:7" ht="56.1" customHeight="1" x14ac:dyDescent="0.25">
      <c r="A7" s="68" t="s">
        <v>110</v>
      </c>
      <c r="B7" s="69">
        <v>0.95</v>
      </c>
      <c r="C7" s="70" t="s">
        <v>111</v>
      </c>
      <c r="D7" s="70" t="s">
        <v>112</v>
      </c>
      <c r="E7" s="68" t="s">
        <v>113</v>
      </c>
      <c r="F7" s="68" t="s">
        <v>114</v>
      </c>
      <c r="G7" s="60"/>
    </row>
    <row r="8" spans="1:7" ht="56.1" customHeight="1" x14ac:dyDescent="0.25">
      <c r="A8" s="65" t="s">
        <v>115</v>
      </c>
      <c r="B8" s="66">
        <v>0.9</v>
      </c>
      <c r="C8" s="67" t="s">
        <v>116</v>
      </c>
      <c r="D8" s="67" t="s">
        <v>117</v>
      </c>
      <c r="E8" s="65" t="s">
        <v>118</v>
      </c>
      <c r="F8" s="65" t="s">
        <v>119</v>
      </c>
      <c r="G8" s="60"/>
    </row>
    <row r="9" spans="1:7" ht="56.1" customHeight="1" x14ac:dyDescent="0.25">
      <c r="A9" s="68" t="s">
        <v>120</v>
      </c>
      <c r="B9" s="69">
        <v>0.85</v>
      </c>
      <c r="C9" s="70" t="s">
        <v>121</v>
      </c>
      <c r="D9" s="70" t="s">
        <v>122</v>
      </c>
      <c r="E9" s="68" t="s">
        <v>123</v>
      </c>
      <c r="F9" s="68" t="s">
        <v>124</v>
      </c>
      <c r="G9" s="60"/>
    </row>
    <row r="10" spans="1:7" ht="56.1" customHeight="1" x14ac:dyDescent="0.25">
      <c r="A10" s="65" t="s">
        <v>125</v>
      </c>
      <c r="B10" s="66">
        <v>0.8</v>
      </c>
      <c r="C10" s="67" t="s">
        <v>126</v>
      </c>
      <c r="D10" s="67" t="s">
        <v>127</v>
      </c>
      <c r="E10" s="65" t="s">
        <v>128</v>
      </c>
      <c r="F10" s="65" t="s">
        <v>129</v>
      </c>
      <c r="G10" s="60"/>
    </row>
    <row r="11" spans="1:7" x14ac:dyDescent="0.25">
      <c r="A11" s="60"/>
      <c r="B11" s="60"/>
      <c r="C11" s="60"/>
      <c r="D11" s="60"/>
      <c r="E11" s="60"/>
      <c r="F11" s="60"/>
      <c r="G11" s="60"/>
    </row>
    <row r="12" spans="1:7" ht="36" customHeight="1" x14ac:dyDescent="0.25">
      <c r="A12" s="117" t="s">
        <v>130</v>
      </c>
      <c r="B12" s="93"/>
      <c r="C12" s="93"/>
      <c r="D12" s="93"/>
      <c r="E12" s="93"/>
      <c r="F12" s="93"/>
      <c r="G12" s="60"/>
    </row>
    <row r="13" spans="1:7" x14ac:dyDescent="0.25">
      <c r="A13" s="60"/>
      <c r="B13" s="60"/>
      <c r="C13" s="60"/>
      <c r="D13" s="60"/>
      <c r="E13" s="60"/>
      <c r="F13" s="60"/>
      <c r="G13" s="60"/>
    </row>
    <row r="14" spans="1:7" ht="15" customHeight="1" x14ac:dyDescent="0.25">
      <c r="A14" s="118" t="s">
        <v>131</v>
      </c>
      <c r="B14" s="100"/>
      <c r="C14" s="100"/>
      <c r="D14" s="100"/>
      <c r="E14" s="100"/>
      <c r="F14" s="100"/>
      <c r="G14" s="60"/>
    </row>
    <row r="15" spans="1:7" ht="24" customHeight="1" x14ac:dyDescent="0.25">
      <c r="A15" s="116" t="s">
        <v>132</v>
      </c>
      <c r="B15" s="93"/>
      <c r="C15" s="93"/>
      <c r="D15" s="93"/>
      <c r="E15" s="93"/>
      <c r="F15" s="93"/>
      <c r="G15" s="60"/>
    </row>
    <row r="16" spans="1:7" ht="24" customHeight="1" x14ac:dyDescent="0.25">
      <c r="A16" s="116" t="s">
        <v>133</v>
      </c>
      <c r="B16" s="93"/>
      <c r="C16" s="93"/>
      <c r="D16" s="93"/>
      <c r="E16" s="93"/>
      <c r="F16" s="93"/>
      <c r="G16" s="60"/>
    </row>
    <row r="17" spans="1:7" ht="24" customHeight="1" x14ac:dyDescent="0.25">
      <c r="A17" s="116" t="s">
        <v>134</v>
      </c>
      <c r="B17" s="93"/>
      <c r="C17" s="93"/>
      <c r="D17" s="93"/>
      <c r="E17" s="93"/>
      <c r="F17" s="93"/>
      <c r="G17" s="60"/>
    </row>
    <row r="18" spans="1:7" ht="24" customHeight="1" x14ac:dyDescent="0.25">
      <c r="A18" s="116" t="s">
        <v>135</v>
      </c>
      <c r="B18" s="93"/>
      <c r="C18" s="93"/>
      <c r="D18" s="93"/>
      <c r="E18" s="93"/>
      <c r="F18" s="93"/>
      <c r="G18" s="60"/>
    </row>
    <row r="19" spans="1:7" ht="15" customHeight="1" x14ac:dyDescent="0.25">
      <c r="A19" s="60"/>
      <c r="B19" s="60"/>
      <c r="C19" s="60"/>
      <c r="D19" s="60"/>
      <c r="E19" s="60"/>
      <c r="F19" s="60"/>
      <c r="G19" s="60"/>
    </row>
    <row r="20" spans="1:7" x14ac:dyDescent="0.25">
      <c r="A20" s="60"/>
      <c r="B20" s="60"/>
      <c r="C20" s="60"/>
      <c r="D20" s="60"/>
      <c r="E20" s="60"/>
      <c r="F20" s="60"/>
      <c r="G20" s="60"/>
    </row>
    <row r="21" spans="1:7" ht="15" customHeight="1" x14ac:dyDescent="0.25">
      <c r="A21" s="118" t="s">
        <v>136</v>
      </c>
      <c r="B21" s="100"/>
      <c r="C21" s="100"/>
      <c r="D21" s="100"/>
      <c r="E21" s="100"/>
      <c r="F21" s="100"/>
      <c r="G21" s="60"/>
    </row>
    <row r="22" spans="1:7" ht="48" customHeight="1" x14ac:dyDescent="0.25">
      <c r="A22" s="116" t="s">
        <v>137</v>
      </c>
      <c r="B22" s="93"/>
      <c r="C22" s="93"/>
      <c r="D22" s="93"/>
      <c r="E22" s="93"/>
      <c r="F22" s="93"/>
      <c r="G22" s="60"/>
    </row>
    <row r="23" spans="1:7" ht="48" customHeight="1" x14ac:dyDescent="0.25">
      <c r="A23" s="116" t="s">
        <v>138</v>
      </c>
      <c r="B23" s="93"/>
      <c r="C23" s="93"/>
      <c r="D23" s="93"/>
      <c r="E23" s="93"/>
      <c r="F23" s="93"/>
      <c r="G23" s="60"/>
    </row>
    <row r="24" spans="1:7" ht="48" customHeight="1" x14ac:dyDescent="0.25">
      <c r="A24" s="116" t="s">
        <v>139</v>
      </c>
      <c r="B24" s="93"/>
      <c r="C24" s="93"/>
      <c r="D24" s="93"/>
      <c r="E24" s="93"/>
      <c r="F24" s="93"/>
      <c r="G24" s="60"/>
    </row>
    <row r="25" spans="1:7" ht="48" customHeight="1" x14ac:dyDescent="0.25">
      <c r="A25" s="116" t="s">
        <v>140</v>
      </c>
      <c r="B25" s="93"/>
      <c r="C25" s="93"/>
      <c r="D25" s="93"/>
      <c r="E25" s="93"/>
      <c r="F25" s="93"/>
      <c r="G25" s="60"/>
    </row>
    <row r="26" spans="1:7" x14ac:dyDescent="0.25">
      <c r="A26" s="60"/>
      <c r="B26" s="60"/>
      <c r="C26" s="60"/>
      <c r="D26" s="60"/>
      <c r="E26" s="60"/>
      <c r="F26" s="60"/>
      <c r="G26" s="60"/>
    </row>
    <row r="27" spans="1:7" x14ac:dyDescent="0.25">
      <c r="A27" s="60"/>
      <c r="B27" s="60"/>
      <c r="C27" s="60"/>
      <c r="D27" s="60"/>
      <c r="E27" s="60"/>
      <c r="F27" s="60"/>
      <c r="G27" s="60"/>
    </row>
    <row r="28" spans="1:7" x14ac:dyDescent="0.25">
      <c r="A28" s="60"/>
      <c r="B28" s="60"/>
      <c r="C28" s="60"/>
      <c r="D28" s="60"/>
      <c r="E28" s="60"/>
      <c r="F28" s="60"/>
      <c r="G28" s="60"/>
    </row>
    <row r="29" spans="1:7" x14ac:dyDescent="0.25">
      <c r="A29" s="60"/>
      <c r="B29" s="60"/>
      <c r="C29" s="60"/>
      <c r="D29" s="60"/>
      <c r="E29" s="60"/>
      <c r="F29" s="60"/>
      <c r="G29" s="60"/>
    </row>
  </sheetData>
  <mergeCells count="14">
    <mergeCell ref="A25:F25"/>
    <mergeCell ref="A24:F24"/>
    <mergeCell ref="A16:F16"/>
    <mergeCell ref="A2:F2"/>
    <mergeCell ref="A14:F14"/>
    <mergeCell ref="A1:F1"/>
    <mergeCell ref="A23:F23"/>
    <mergeCell ref="A22:F22"/>
    <mergeCell ref="A17:F17"/>
    <mergeCell ref="A12:F12"/>
    <mergeCell ref="A18:F18"/>
    <mergeCell ref="A4:F4"/>
    <mergeCell ref="A21:F21"/>
    <mergeCell ref="A15:F15"/>
  </mergeCells>
  <printOptions horizontalCentered="1"/>
  <pageMargins left="0.4" right="0.4" top="0.4" bottom="0.4" header="0.511811023622047" footer="0.511811023622047"/>
  <pageSetup paperSize="9" scale="8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4"/>
  <sheetViews>
    <sheetView showGridLines="0" zoomScaleNormal="100" workbookViewId="0">
      <selection activeCell="M16" sqref="M16"/>
    </sheetView>
  </sheetViews>
  <sheetFormatPr defaultColWidth="8.7109375" defaultRowHeight="15" x14ac:dyDescent="0.25"/>
  <cols>
    <col min="1" max="1" width="5" style="88" customWidth="1"/>
    <col min="2" max="2" width="10" style="88" customWidth="1"/>
    <col min="3" max="10" width="14" style="88" customWidth="1"/>
  </cols>
  <sheetData>
    <row r="1" spans="1:11" ht="31.5" customHeight="1" x14ac:dyDescent="0.25">
      <c r="A1" s="121" t="s">
        <v>141</v>
      </c>
      <c r="B1" s="110"/>
      <c r="C1" s="110"/>
      <c r="D1" s="110"/>
      <c r="E1" s="110"/>
      <c r="F1" s="110"/>
      <c r="G1" s="110"/>
      <c r="H1" s="110"/>
      <c r="I1" s="110"/>
      <c r="J1" s="110"/>
    </row>
    <row r="2" spans="1:11" ht="15" customHeight="1" x14ac:dyDescent="0.25">
      <c r="A2" s="125" t="s">
        <v>142</v>
      </c>
      <c r="B2" s="123"/>
      <c r="C2" s="123"/>
      <c r="D2" s="123"/>
      <c r="E2" s="123"/>
      <c r="F2" s="123"/>
      <c r="G2" s="123"/>
      <c r="H2" s="123"/>
      <c r="I2" s="123"/>
      <c r="J2" s="123"/>
    </row>
    <row r="3" spans="1:11" ht="30" customHeight="1" x14ac:dyDescent="0.25">
      <c r="A3" s="33" t="s">
        <v>46</v>
      </c>
      <c r="B3" s="33" t="s">
        <v>143</v>
      </c>
      <c r="C3" s="33" t="s">
        <v>144</v>
      </c>
      <c r="D3" s="33" t="s">
        <v>145</v>
      </c>
      <c r="E3" s="33" t="s">
        <v>19</v>
      </c>
      <c r="F3" s="33" t="s">
        <v>146</v>
      </c>
      <c r="G3" s="33" t="s">
        <v>27</v>
      </c>
      <c r="H3" s="33" t="s">
        <v>147</v>
      </c>
      <c r="I3" s="33"/>
      <c r="J3" s="33" t="s">
        <v>148</v>
      </c>
    </row>
    <row r="4" spans="1:11" ht="15" customHeight="1" x14ac:dyDescent="0.25">
      <c r="A4" s="34">
        <v>1</v>
      </c>
      <c r="B4" s="35">
        <v>2026</v>
      </c>
      <c r="C4" s="52">
        <f>IF(A4&gt;'1. Sammanfattning'!$E$10,0,IF(A4&lt;=30,$H$62/30,0))</f>
        <v>10.004999999999999</v>
      </c>
      <c r="D4" s="52">
        <f>IF(A4&gt;'1. Sammanfattning'!$E$10,0,IF(A4&lt;=30,$H$62*(1-(A4-1)/30)*'1. Sammanfattning'!$E$8,0))</f>
        <v>9.0044999999999984</v>
      </c>
      <c r="E4" s="52">
        <f>IF(A4&gt;'1. Sammanfattning'!$E$10,0,'1. Sammanfattning'!$B$7*'1. Sammanfattning'!$B$14/1000000*(1+'1. Sammanfattning'!$E$11)^(A4-1))</f>
        <v>4.75</v>
      </c>
      <c r="F4" s="52">
        <f>IF(A4&gt;'1. Sammanfattning'!$E$10,0,'1. Sammanfattning'!$B$7*'1. Sammanfattning'!$B$15/1000000*(1+'1. Sammanfattning'!$E$11)^(A4-1))</f>
        <v>1.25</v>
      </c>
      <c r="G4" s="52">
        <f>IF(A4&gt;'1. Sammanfattning'!$E$10,0,-'1. Sammanfattning'!$B$18*(1+'1. Sammanfattning'!$E$11)^(A4-1))</f>
        <v>0</v>
      </c>
      <c r="H4" s="52">
        <f>IF(A4&gt;'1. Sammanfattning'!$E$10,0,IF(A4='1. Sammanfattning'!$B$17,$H$63*(1+'1. Sammanfattning'!$E$11)^(A4-1),0))</f>
        <v>0</v>
      </c>
      <c r="I4" s="53"/>
      <c r="J4" s="52">
        <f t="shared" ref="J4:J35" si="0">SUM(C4:G4)+H4</f>
        <v>25.009499999999996</v>
      </c>
      <c r="K4" s="54"/>
    </row>
    <row r="5" spans="1:11" ht="15" customHeight="1" x14ac:dyDescent="0.25">
      <c r="A5" s="34">
        <v>2</v>
      </c>
      <c r="B5" s="35">
        <v>2027</v>
      </c>
      <c r="C5" s="52">
        <f>IF(A5&gt;'1. Sammanfattning'!$E$10,0,IF(A5&lt;=30,$H$62/30,0))</f>
        <v>10.004999999999999</v>
      </c>
      <c r="D5" s="52">
        <f>IF(A5&gt;'1. Sammanfattning'!$E$10,0,IF(A5&lt;=30,$H$62*(1-(A5-1)/30)*'1. Sammanfattning'!$E$8,0))</f>
        <v>8.7043499999999998</v>
      </c>
      <c r="E5" s="52">
        <f>IF(A5&gt;'1. Sammanfattning'!$E$10,0,'1. Sammanfattning'!$B$7*'1. Sammanfattning'!$B$14/1000000*(1+'1. Sammanfattning'!$E$11)^(A5-1))</f>
        <v>4.8449999999999998</v>
      </c>
      <c r="F5" s="52">
        <f>IF(A5&gt;'1. Sammanfattning'!$E$10,0,'1. Sammanfattning'!$B$7*'1. Sammanfattning'!$B$15/1000000*(1+'1. Sammanfattning'!$E$11)^(A5-1))</f>
        <v>1.2749999999999999</v>
      </c>
      <c r="G5" s="52">
        <f>IF(A5&gt;'1. Sammanfattning'!$E$10,0,-'1. Sammanfattning'!$B$18*(1+'1. Sammanfattning'!$E$11)^(A5-1))</f>
        <v>0</v>
      </c>
      <c r="H5" s="52">
        <f>IF(A5&gt;'1. Sammanfattning'!$E$10,0,IF(A5='1. Sammanfattning'!$B$17,$H$63*(1+'1. Sammanfattning'!$E$11)^(A5-1),0))</f>
        <v>0</v>
      </c>
      <c r="I5" s="53"/>
      <c r="J5" s="52">
        <f t="shared" si="0"/>
        <v>24.829349999999998</v>
      </c>
      <c r="K5" s="54"/>
    </row>
    <row r="6" spans="1:11" ht="15" customHeight="1" x14ac:dyDescent="0.25">
      <c r="A6" s="34">
        <v>3</v>
      </c>
      <c r="B6" s="35">
        <v>2028</v>
      </c>
      <c r="C6" s="52">
        <f>IF(A6&gt;'1. Sammanfattning'!$E$10,0,IF(A6&lt;=30,$H$62/30,0))</f>
        <v>10.004999999999999</v>
      </c>
      <c r="D6" s="52">
        <f>IF(A6&gt;'1. Sammanfattning'!$E$10,0,IF(A6&lt;=30,$H$62*(1-(A6-1)/30)*'1. Sammanfattning'!$E$8,0))</f>
        <v>8.4041999999999994</v>
      </c>
      <c r="E6" s="52">
        <f>IF(A6&gt;'1. Sammanfattning'!$E$10,0,'1. Sammanfattning'!$B$7*'1. Sammanfattning'!$B$14/1000000*(1+'1. Sammanfattning'!$E$11)^(A6-1))</f>
        <v>4.9419000000000004</v>
      </c>
      <c r="F6" s="52">
        <f>IF(A6&gt;'1. Sammanfattning'!$E$10,0,'1. Sammanfattning'!$B$7*'1. Sammanfattning'!$B$15/1000000*(1+'1. Sammanfattning'!$E$11)^(A6-1))</f>
        <v>1.3005</v>
      </c>
      <c r="G6" s="52">
        <f>IF(A6&gt;'1. Sammanfattning'!$E$10,0,-'1. Sammanfattning'!$B$18*(1+'1. Sammanfattning'!$E$11)^(A6-1))</f>
        <v>0</v>
      </c>
      <c r="H6" s="52">
        <f>IF(A6&gt;'1. Sammanfattning'!$E$10,0,IF(A6='1. Sammanfattning'!$B$17,$H$63*(1+'1. Sammanfattning'!$E$11)^(A6-1),0))</f>
        <v>0</v>
      </c>
      <c r="I6" s="53"/>
      <c r="J6" s="52">
        <f t="shared" si="0"/>
        <v>24.651599999999998</v>
      </c>
      <c r="K6" s="54"/>
    </row>
    <row r="7" spans="1:11" ht="15" customHeight="1" x14ac:dyDescent="0.25">
      <c r="A7" s="34">
        <v>4</v>
      </c>
      <c r="B7" s="35">
        <v>2029</v>
      </c>
      <c r="C7" s="52">
        <f>IF(A7&gt;'1. Sammanfattning'!$E$10,0,IF(A7&lt;=30,$H$62/30,0))</f>
        <v>10.004999999999999</v>
      </c>
      <c r="D7" s="52">
        <f>IF(A7&gt;'1. Sammanfattning'!$E$10,0,IF(A7&lt;=30,$H$62*(1-(A7-1)/30)*'1. Sammanfattning'!$E$8,0))</f>
        <v>8.1040499999999991</v>
      </c>
      <c r="E7" s="52">
        <f>IF(A7&gt;'1. Sammanfattning'!$E$10,0,'1. Sammanfattning'!$B$7*'1. Sammanfattning'!$B$14/1000000*(1+'1. Sammanfattning'!$E$11)^(A7-1))</f>
        <v>5.0407379999999993</v>
      </c>
      <c r="F7" s="52">
        <f>IF(A7&gt;'1. Sammanfattning'!$E$10,0,'1. Sammanfattning'!$B$7*'1. Sammanfattning'!$B$15/1000000*(1+'1. Sammanfattning'!$E$11)^(A7-1))</f>
        <v>1.3265099999999999</v>
      </c>
      <c r="G7" s="52">
        <f>IF(A7&gt;'1. Sammanfattning'!$E$10,0,-'1. Sammanfattning'!$B$18*(1+'1. Sammanfattning'!$E$11)^(A7-1))</f>
        <v>0</v>
      </c>
      <c r="H7" s="52">
        <f>IF(A7&gt;'1. Sammanfattning'!$E$10,0,IF(A7='1. Sammanfattning'!$B$17,$H$63*(1+'1. Sammanfattning'!$E$11)^(A7-1),0))</f>
        <v>0</v>
      </c>
      <c r="I7" s="53"/>
      <c r="J7" s="52">
        <f t="shared" si="0"/>
        <v>24.476297999999993</v>
      </c>
      <c r="K7" s="54"/>
    </row>
    <row r="8" spans="1:11" ht="15" customHeight="1" x14ac:dyDescent="0.25">
      <c r="A8" s="34">
        <v>5</v>
      </c>
      <c r="B8" s="35">
        <v>2030</v>
      </c>
      <c r="C8" s="52">
        <f>IF(A8&gt;'1. Sammanfattning'!$E$10,0,IF(A8&lt;=30,$H$62/30,0))</f>
        <v>10.004999999999999</v>
      </c>
      <c r="D8" s="52">
        <f>IF(A8&gt;'1. Sammanfattning'!$E$10,0,IF(A8&lt;=30,$H$62*(1-(A8-1)/30)*'1. Sammanfattning'!$E$8,0))</f>
        <v>7.8038999999999996</v>
      </c>
      <c r="E8" s="52">
        <f>IF(A8&gt;'1. Sammanfattning'!$E$10,0,'1. Sammanfattning'!$B$7*'1. Sammanfattning'!$B$14/1000000*(1+'1. Sammanfattning'!$E$11)^(A8-1))</f>
        <v>5.1415527599999997</v>
      </c>
      <c r="F8" s="52">
        <f>IF(A8&gt;'1. Sammanfattning'!$E$10,0,'1. Sammanfattning'!$B$7*'1. Sammanfattning'!$B$15/1000000*(1+'1. Sammanfattning'!$E$11)^(A8-1))</f>
        <v>1.3530401999999999</v>
      </c>
      <c r="G8" s="52">
        <f>IF(A8&gt;'1. Sammanfattning'!$E$10,0,-'1. Sammanfattning'!$B$18*(1+'1. Sammanfattning'!$E$11)^(A8-1))</f>
        <v>0</v>
      </c>
      <c r="H8" s="52">
        <f>IF(A8&gt;'1. Sammanfattning'!$E$10,0,IF(A8='1. Sammanfattning'!$B$17,$H$63*(1+'1. Sammanfattning'!$E$11)^(A8-1),0))</f>
        <v>0</v>
      </c>
      <c r="I8" s="53"/>
      <c r="J8" s="52">
        <f t="shared" si="0"/>
        <v>24.303492959999996</v>
      </c>
      <c r="K8" s="54"/>
    </row>
    <row r="9" spans="1:11" ht="15" customHeight="1" x14ac:dyDescent="0.25">
      <c r="A9" s="34">
        <v>6</v>
      </c>
      <c r="B9" s="35">
        <v>2031</v>
      </c>
      <c r="C9" s="52">
        <f>IF(A9&gt;'1. Sammanfattning'!$E$10,0,IF(A9&lt;=30,$H$62/30,0))</f>
        <v>10.004999999999999</v>
      </c>
      <c r="D9" s="52">
        <f>IF(A9&gt;'1. Sammanfattning'!$E$10,0,IF(A9&lt;=30,$H$62*(1-(A9-1)/30)*'1. Sammanfattning'!$E$8,0))</f>
        <v>7.5037500000000001</v>
      </c>
      <c r="E9" s="52">
        <f>IF(A9&gt;'1. Sammanfattning'!$E$10,0,'1. Sammanfattning'!$B$7*'1. Sammanfattning'!$B$14/1000000*(1+'1. Sammanfattning'!$E$11)^(A9-1))</f>
        <v>5.2443838152</v>
      </c>
      <c r="F9" s="52">
        <f>IF(A9&gt;'1. Sammanfattning'!$E$10,0,'1. Sammanfattning'!$B$7*'1. Sammanfattning'!$B$15/1000000*(1+'1. Sammanfattning'!$E$11)^(A9-1))</f>
        <v>1.3801010040000001</v>
      </c>
      <c r="G9" s="52">
        <f>IF(A9&gt;'1. Sammanfattning'!$E$10,0,-'1. Sammanfattning'!$B$18*(1+'1. Sammanfattning'!$E$11)^(A9-1))</f>
        <v>0</v>
      </c>
      <c r="H9" s="52">
        <f>IF(A9&gt;'1. Sammanfattning'!$E$10,0,IF(A9='1. Sammanfattning'!$B$17,$H$63*(1+'1. Sammanfattning'!$E$11)^(A9-1),0))</f>
        <v>0</v>
      </c>
      <c r="I9" s="53"/>
      <c r="J9" s="52">
        <f t="shared" si="0"/>
        <v>24.133234819199998</v>
      </c>
      <c r="K9" s="54"/>
    </row>
    <row r="10" spans="1:11" ht="15" customHeight="1" x14ac:dyDescent="0.25">
      <c r="A10" s="34">
        <v>7</v>
      </c>
      <c r="B10" s="35">
        <v>2032</v>
      </c>
      <c r="C10" s="52">
        <f>IF(A10&gt;'1. Sammanfattning'!$E$10,0,IF(A10&lt;=30,$H$62/30,0))</f>
        <v>10.004999999999999</v>
      </c>
      <c r="D10" s="52">
        <f>IF(A10&gt;'1. Sammanfattning'!$E$10,0,IF(A10&lt;=30,$H$62*(1-(A10-1)/30)*'1. Sammanfattning'!$E$8,0))</f>
        <v>7.2035999999999998</v>
      </c>
      <c r="E10" s="52">
        <f>IF(A10&gt;'1. Sammanfattning'!$E$10,0,'1. Sammanfattning'!$B$7*'1. Sammanfattning'!$B$14/1000000*(1+'1. Sammanfattning'!$E$11)^(A10-1))</f>
        <v>5.3492714915040001</v>
      </c>
      <c r="F10" s="52">
        <f>IF(A10&gt;'1. Sammanfattning'!$E$10,0,'1. Sammanfattning'!$B$7*'1. Sammanfattning'!$B$15/1000000*(1+'1. Sammanfattning'!$E$11)^(A10-1))</f>
        <v>1.4077030240800001</v>
      </c>
      <c r="G10" s="52">
        <f>IF(A10&gt;'1. Sammanfattning'!$E$10,0,-'1. Sammanfattning'!$B$18*(1+'1. Sammanfattning'!$E$11)^(A10-1))</f>
        <v>0</v>
      </c>
      <c r="H10" s="52">
        <f>IF(A10&gt;'1. Sammanfattning'!$E$10,0,IF(A10='1. Sammanfattning'!$B$17,$H$63*(1+'1. Sammanfattning'!$E$11)^(A10-1),0))</f>
        <v>0</v>
      </c>
      <c r="I10" s="53"/>
      <c r="J10" s="52">
        <f t="shared" si="0"/>
        <v>23.965574515583995</v>
      </c>
      <c r="K10" s="54"/>
    </row>
    <row r="11" spans="1:11" ht="15" customHeight="1" x14ac:dyDescent="0.25">
      <c r="A11" s="34">
        <v>8</v>
      </c>
      <c r="B11" s="35">
        <v>2033</v>
      </c>
      <c r="C11" s="52">
        <f>IF(A11&gt;'1. Sammanfattning'!$E$10,0,IF(A11&lt;=30,$H$62/30,0))</f>
        <v>10.004999999999999</v>
      </c>
      <c r="D11" s="52">
        <f>IF(A11&gt;'1. Sammanfattning'!$E$10,0,IF(A11&lt;=30,$H$62*(1-(A11-1)/30)*'1. Sammanfattning'!$E$8,0))</f>
        <v>6.9034499999999985</v>
      </c>
      <c r="E11" s="52">
        <f>IF(A11&gt;'1. Sammanfattning'!$E$10,0,'1. Sammanfattning'!$B$7*'1. Sammanfattning'!$B$14/1000000*(1+'1. Sammanfattning'!$E$11)^(A11-1))</f>
        <v>5.456256921334079</v>
      </c>
      <c r="F11" s="52">
        <f>IF(A11&gt;'1. Sammanfattning'!$E$10,0,'1. Sammanfattning'!$B$7*'1. Sammanfattning'!$B$15/1000000*(1+'1. Sammanfattning'!$E$11)^(A11-1))</f>
        <v>1.4358570845615999</v>
      </c>
      <c r="G11" s="52">
        <f>IF(A11&gt;'1. Sammanfattning'!$E$10,0,-'1. Sammanfattning'!$B$18*(1+'1. Sammanfattning'!$E$11)^(A11-1))</f>
        <v>0</v>
      </c>
      <c r="H11" s="52">
        <f>IF(A11&gt;'1. Sammanfattning'!$E$10,0,IF(A11='1. Sammanfattning'!$B$17,$H$63*(1+'1. Sammanfattning'!$E$11)^(A11-1),0))</f>
        <v>0</v>
      </c>
      <c r="I11" s="53"/>
      <c r="J11" s="52">
        <f t="shared" si="0"/>
        <v>23.800564005895676</v>
      </c>
      <c r="K11" s="54"/>
    </row>
    <row r="12" spans="1:11" ht="15" customHeight="1" x14ac:dyDescent="0.25">
      <c r="A12" s="34">
        <v>9</v>
      </c>
      <c r="B12" s="35">
        <v>2034</v>
      </c>
      <c r="C12" s="52">
        <f>IF(A12&gt;'1. Sammanfattning'!$E$10,0,IF(A12&lt;=30,$H$62/30,0))</f>
        <v>10.004999999999999</v>
      </c>
      <c r="D12" s="52">
        <f>IF(A12&gt;'1. Sammanfattning'!$E$10,0,IF(A12&lt;=30,$H$62*(1-(A12-1)/30)*'1. Sammanfattning'!$E$8,0))</f>
        <v>6.6032999999999999</v>
      </c>
      <c r="E12" s="52">
        <f>IF(A12&gt;'1. Sammanfattning'!$E$10,0,'1. Sammanfattning'!$B$7*'1. Sammanfattning'!$B$14/1000000*(1+'1. Sammanfattning'!$E$11)^(A12-1))</f>
        <v>5.5653820597607613</v>
      </c>
      <c r="F12" s="52">
        <f>IF(A12&gt;'1. Sammanfattning'!$E$10,0,'1. Sammanfattning'!$B$7*'1. Sammanfattning'!$B$15/1000000*(1+'1. Sammanfattning'!$E$11)^(A12-1))</f>
        <v>1.4645742262528318</v>
      </c>
      <c r="G12" s="52">
        <f>IF(A12&gt;'1. Sammanfattning'!$E$10,0,-'1. Sammanfattning'!$B$18*(1+'1. Sammanfattning'!$E$11)^(A12-1))</f>
        <v>0</v>
      </c>
      <c r="H12" s="52">
        <f>IF(A12&gt;'1. Sammanfattning'!$E$10,0,IF(A12='1. Sammanfattning'!$B$17,$H$63*(1+'1. Sammanfattning'!$E$11)^(A12-1),0))</f>
        <v>0</v>
      </c>
      <c r="I12" s="53"/>
      <c r="J12" s="52">
        <f t="shared" si="0"/>
        <v>23.638256286013593</v>
      </c>
      <c r="K12" s="54"/>
    </row>
    <row r="13" spans="1:11" ht="15" customHeight="1" x14ac:dyDescent="0.25">
      <c r="A13" s="34">
        <v>10</v>
      </c>
      <c r="B13" s="35">
        <v>2035</v>
      </c>
      <c r="C13" s="52">
        <f>IF(A13&gt;'1. Sammanfattning'!$E$10,0,IF(A13&lt;=30,$H$62/30,0))</f>
        <v>10.004999999999999</v>
      </c>
      <c r="D13" s="52">
        <f>IF(A13&gt;'1. Sammanfattning'!$E$10,0,IF(A13&lt;=30,$H$62*(1-(A13-1)/30)*'1. Sammanfattning'!$E$8,0))</f>
        <v>6.3031499999999987</v>
      </c>
      <c r="E13" s="52">
        <f>IF(A13&gt;'1. Sammanfattning'!$E$10,0,'1. Sammanfattning'!$B$7*'1. Sammanfattning'!$B$14/1000000*(1+'1. Sammanfattning'!$E$11)^(A13-1))</f>
        <v>5.6766897009559765</v>
      </c>
      <c r="F13" s="52">
        <f>IF(A13&gt;'1. Sammanfattning'!$E$10,0,'1. Sammanfattning'!$B$7*'1. Sammanfattning'!$B$15/1000000*(1+'1. Sammanfattning'!$E$11)^(A13-1))</f>
        <v>1.4938657107778885</v>
      </c>
      <c r="G13" s="52">
        <f>IF(A13&gt;'1. Sammanfattning'!$E$10,0,-'1. Sammanfattning'!$B$18*(1+'1. Sammanfattning'!$E$11)^(A13-1))</f>
        <v>0</v>
      </c>
      <c r="H13" s="52">
        <f>IF(A13&gt;'1. Sammanfattning'!$E$10,0,IF(A13='1. Sammanfattning'!$B$17,$H$63*(1+'1. Sammanfattning'!$E$11)^(A13-1),0))</f>
        <v>0</v>
      </c>
      <c r="I13" s="53"/>
      <c r="J13" s="52">
        <f t="shared" si="0"/>
        <v>23.478705411733863</v>
      </c>
      <c r="K13" s="54"/>
    </row>
    <row r="14" spans="1:11" ht="15" customHeight="1" x14ac:dyDescent="0.25">
      <c r="A14" s="34">
        <v>11</v>
      </c>
      <c r="B14" s="35">
        <v>2036</v>
      </c>
      <c r="C14" s="52">
        <f>IF(A14&gt;'1. Sammanfattning'!$E$10,0,IF(A14&lt;=30,$H$62/30,0))</f>
        <v>10.004999999999999</v>
      </c>
      <c r="D14" s="52">
        <f>IF(A14&gt;'1. Sammanfattning'!$E$10,0,IF(A14&lt;=30,$H$62*(1-(A14-1)/30)*'1. Sammanfattning'!$E$8,0))</f>
        <v>6.0029999999999992</v>
      </c>
      <c r="E14" s="52">
        <f>IF(A14&gt;'1. Sammanfattning'!$E$10,0,'1. Sammanfattning'!$B$7*'1. Sammanfattning'!$B$14/1000000*(1+'1. Sammanfattning'!$E$11)^(A14-1))</f>
        <v>5.7902234949750966</v>
      </c>
      <c r="F14" s="52">
        <f>IF(A14&gt;'1. Sammanfattning'!$E$10,0,'1. Sammanfattning'!$B$7*'1. Sammanfattning'!$B$15/1000000*(1+'1. Sammanfattning'!$E$11)^(A14-1))</f>
        <v>1.5237430249934465</v>
      </c>
      <c r="G14" s="52">
        <f>IF(A14&gt;'1. Sammanfattning'!$E$10,0,-'1. Sammanfattning'!$B$18*(1+'1. Sammanfattning'!$E$11)^(A14-1))</f>
        <v>0</v>
      </c>
      <c r="H14" s="52">
        <f>IF(A14&gt;'1. Sammanfattning'!$E$10,0,IF(A14='1. Sammanfattning'!$B$17,$H$63*(1+'1. Sammanfattning'!$E$11)^(A14-1),0))</f>
        <v>0</v>
      </c>
      <c r="I14" s="53"/>
      <c r="J14" s="52">
        <f t="shared" si="0"/>
        <v>23.321966519968544</v>
      </c>
      <c r="K14" s="54"/>
    </row>
    <row r="15" spans="1:11" ht="15" customHeight="1" x14ac:dyDescent="0.25">
      <c r="A15" s="34">
        <v>12</v>
      </c>
      <c r="B15" s="35">
        <v>2037</v>
      </c>
      <c r="C15" s="52">
        <f>IF(A15&gt;'1. Sammanfattning'!$E$10,0,IF(A15&lt;=30,$H$62/30,0))</f>
        <v>10.004999999999999</v>
      </c>
      <c r="D15" s="52">
        <f>IF(A15&gt;'1. Sammanfattning'!$E$10,0,IF(A15&lt;=30,$H$62*(1-(A15-1)/30)*'1. Sammanfattning'!$E$8,0))</f>
        <v>5.7028499999999989</v>
      </c>
      <c r="E15" s="52">
        <f>IF(A15&gt;'1. Sammanfattning'!$E$10,0,'1. Sammanfattning'!$B$7*'1. Sammanfattning'!$B$14/1000000*(1+'1. Sammanfattning'!$E$11)^(A15-1))</f>
        <v>5.906027964874597</v>
      </c>
      <c r="F15" s="52">
        <f>IF(A15&gt;'1. Sammanfattning'!$E$10,0,'1. Sammanfattning'!$B$7*'1. Sammanfattning'!$B$15/1000000*(1+'1. Sammanfattning'!$E$11)^(A15-1))</f>
        <v>1.5542178854933151</v>
      </c>
      <c r="G15" s="52">
        <f>IF(A15&gt;'1. Sammanfattning'!$E$10,0,-'1. Sammanfattning'!$B$18*(1+'1. Sammanfattning'!$E$11)^(A15-1))</f>
        <v>0</v>
      </c>
      <c r="H15" s="52">
        <f>IF(A15&gt;'1. Sammanfattning'!$E$10,0,IF(A15='1. Sammanfattning'!$B$17,$H$63*(1+'1. Sammanfattning'!$E$11)^(A15-1),0))</f>
        <v>0</v>
      </c>
      <c r="I15" s="53"/>
      <c r="J15" s="52">
        <f t="shared" si="0"/>
        <v>23.168095850367909</v>
      </c>
      <c r="K15" s="54"/>
    </row>
    <row r="16" spans="1:11" ht="15" customHeight="1" x14ac:dyDescent="0.25">
      <c r="A16" s="34">
        <v>13</v>
      </c>
      <c r="B16" s="35">
        <v>2038</v>
      </c>
      <c r="C16" s="52">
        <f>IF(A16&gt;'1. Sammanfattning'!$E$10,0,IF(A16&lt;=30,$H$62/30,0))</f>
        <v>10.004999999999999</v>
      </c>
      <c r="D16" s="52">
        <f>IF(A16&gt;'1. Sammanfattning'!$E$10,0,IF(A16&lt;=30,$H$62*(1-(A16-1)/30)*'1. Sammanfattning'!$E$8,0))</f>
        <v>5.4026999999999994</v>
      </c>
      <c r="E16" s="52">
        <f>IF(A16&gt;'1. Sammanfattning'!$E$10,0,'1. Sammanfattning'!$B$7*'1. Sammanfattning'!$B$14/1000000*(1+'1. Sammanfattning'!$E$11)^(A16-1))</f>
        <v>6.02414852417209</v>
      </c>
      <c r="F16" s="52">
        <f>IF(A16&gt;'1. Sammanfattning'!$E$10,0,'1. Sammanfattning'!$B$7*'1. Sammanfattning'!$B$15/1000000*(1+'1. Sammanfattning'!$E$11)^(A16-1))</f>
        <v>1.5853022432031816</v>
      </c>
      <c r="G16" s="52">
        <f>IF(A16&gt;'1. Sammanfattning'!$E$10,0,-'1. Sammanfattning'!$B$18*(1+'1. Sammanfattning'!$E$11)^(A16-1))</f>
        <v>0</v>
      </c>
      <c r="H16" s="52">
        <f>IF(A16&gt;'1. Sammanfattning'!$E$10,0,IF(A16='1. Sammanfattning'!$B$17,$H$63*(1+'1. Sammanfattning'!$E$11)^(A16-1),0))</f>
        <v>0</v>
      </c>
      <c r="I16" s="53"/>
      <c r="J16" s="52">
        <f t="shared" si="0"/>
        <v>23.01715076737527</v>
      </c>
      <c r="K16" s="54"/>
    </row>
    <row r="17" spans="1:11" ht="15" customHeight="1" x14ac:dyDescent="0.25">
      <c r="A17" s="34">
        <v>14</v>
      </c>
      <c r="B17" s="35">
        <v>2039</v>
      </c>
      <c r="C17" s="52">
        <f>IF(A17&gt;'1. Sammanfattning'!$E$10,0,IF(A17&lt;=30,$H$62/30,0))</f>
        <v>10.004999999999999</v>
      </c>
      <c r="D17" s="52">
        <f>IF(A17&gt;'1. Sammanfattning'!$E$10,0,IF(A17&lt;=30,$H$62*(1-(A17-1)/30)*'1. Sammanfattning'!$E$8,0))</f>
        <v>5.102549999999999</v>
      </c>
      <c r="E17" s="52">
        <f>IF(A17&gt;'1. Sammanfattning'!$E$10,0,'1. Sammanfattning'!$B$7*'1. Sammanfattning'!$B$14/1000000*(1+'1. Sammanfattning'!$E$11)^(A17-1))</f>
        <v>6.1446314946555312</v>
      </c>
      <c r="F17" s="52">
        <f>IF(A17&gt;'1. Sammanfattning'!$E$10,0,'1. Sammanfattning'!$B$7*'1. Sammanfattning'!$B$15/1000000*(1+'1. Sammanfattning'!$E$11)^(A17-1))</f>
        <v>1.6170082880672452</v>
      </c>
      <c r="G17" s="52">
        <f>IF(A17&gt;'1. Sammanfattning'!$E$10,0,-'1. Sammanfattning'!$B$18*(1+'1. Sammanfattning'!$E$11)^(A17-1))</f>
        <v>0</v>
      </c>
      <c r="H17" s="52">
        <f>IF(A17&gt;'1. Sammanfattning'!$E$10,0,IF(A17='1. Sammanfattning'!$B$17,$H$63*(1+'1. Sammanfattning'!$E$11)^(A17-1),0))</f>
        <v>0</v>
      </c>
      <c r="I17" s="53"/>
      <c r="J17" s="52">
        <f t="shared" si="0"/>
        <v>22.869189782722778</v>
      </c>
      <c r="K17" s="54"/>
    </row>
    <row r="18" spans="1:11" ht="15" customHeight="1" x14ac:dyDescent="0.25">
      <c r="A18" s="34">
        <v>15</v>
      </c>
      <c r="B18" s="35">
        <v>2040</v>
      </c>
      <c r="C18" s="52">
        <f>IF(A18&gt;'1. Sammanfattning'!$E$10,0,IF(A18&lt;=30,$H$62/30,0))</f>
        <v>10.004999999999999</v>
      </c>
      <c r="D18" s="52">
        <f>IF(A18&gt;'1. Sammanfattning'!$E$10,0,IF(A18&lt;=30,$H$62*(1-(A18-1)/30)*'1. Sammanfattning'!$E$8,0))</f>
        <v>4.8023999999999996</v>
      </c>
      <c r="E18" s="52">
        <f>IF(A18&gt;'1. Sammanfattning'!$E$10,0,'1. Sammanfattning'!$B$7*'1. Sammanfattning'!$B$14/1000000*(1+'1. Sammanfattning'!$E$11)^(A18-1))</f>
        <v>6.2675241245486424</v>
      </c>
      <c r="F18" s="52">
        <f>IF(A18&gt;'1. Sammanfattning'!$E$10,0,'1. Sammanfattning'!$B$7*'1. Sammanfattning'!$B$15/1000000*(1+'1. Sammanfattning'!$E$11)^(A18-1))</f>
        <v>1.6493484538285901</v>
      </c>
      <c r="G18" s="52">
        <f>IF(A18&gt;'1. Sammanfattning'!$E$10,0,-'1. Sammanfattning'!$B$18*(1+'1. Sammanfattning'!$E$11)^(A18-1))</f>
        <v>0</v>
      </c>
      <c r="H18" s="52">
        <f>IF(A18&gt;'1. Sammanfattning'!$E$10,0,IF(A18='1. Sammanfattning'!$B$17,$H$63*(1+'1. Sammanfattning'!$E$11)^(A18-1),0))</f>
        <v>0</v>
      </c>
      <c r="I18" s="53"/>
      <c r="J18" s="52">
        <f t="shared" si="0"/>
        <v>22.724272578377231</v>
      </c>
      <c r="K18" s="54"/>
    </row>
    <row r="19" spans="1:11" ht="15" customHeight="1" x14ac:dyDescent="0.25">
      <c r="A19" s="34">
        <v>16</v>
      </c>
      <c r="B19" s="35">
        <v>2041</v>
      </c>
      <c r="C19" s="52">
        <f>IF(A19&gt;'1. Sammanfattning'!$E$10,0,IF(A19&lt;=30,$H$62/30,0))</f>
        <v>10.004999999999999</v>
      </c>
      <c r="D19" s="52">
        <f>IF(A19&gt;'1. Sammanfattning'!$E$10,0,IF(A19&lt;=30,$H$62*(1-(A19-1)/30)*'1. Sammanfattning'!$E$8,0))</f>
        <v>4.5022499999999992</v>
      </c>
      <c r="E19" s="52">
        <f>IF(A19&gt;'1. Sammanfattning'!$E$10,0,'1. Sammanfattning'!$B$7*'1. Sammanfattning'!$B$14/1000000*(1+'1. Sammanfattning'!$E$11)^(A19-1))</f>
        <v>6.3928746070396141</v>
      </c>
      <c r="F19" s="52">
        <f>IF(A19&gt;'1. Sammanfattning'!$E$10,0,'1. Sammanfattning'!$B$7*'1. Sammanfattning'!$B$15/1000000*(1+'1. Sammanfattning'!$E$11)^(A19-1))</f>
        <v>1.6823354229051615</v>
      </c>
      <c r="G19" s="52">
        <f>IF(A19&gt;'1. Sammanfattning'!$E$10,0,-'1. Sammanfattning'!$B$18*(1+'1. Sammanfattning'!$E$11)^(A19-1))</f>
        <v>0</v>
      </c>
      <c r="H19" s="52">
        <f>IF(A19&gt;'1. Sammanfattning'!$E$10,0,IF(A19='1. Sammanfattning'!$B$17,$H$63*(1+'1. Sammanfattning'!$E$11)^(A19-1),0))</f>
        <v>0</v>
      </c>
      <c r="I19" s="53"/>
      <c r="J19" s="52">
        <f t="shared" si="0"/>
        <v>22.582460029944777</v>
      </c>
      <c r="K19" s="54"/>
    </row>
    <row r="20" spans="1:11" ht="15" customHeight="1" x14ac:dyDescent="0.25">
      <c r="A20" s="34">
        <v>17</v>
      </c>
      <c r="B20" s="35">
        <v>2042</v>
      </c>
      <c r="C20" s="52">
        <f>IF(A20&gt;'1. Sammanfattning'!$E$10,0,IF(A20&lt;=30,$H$62/30,0))</f>
        <v>10.004999999999999</v>
      </c>
      <c r="D20" s="52">
        <f>IF(A20&gt;'1. Sammanfattning'!$E$10,0,IF(A20&lt;=30,$H$62*(1-(A20-1)/30)*'1. Sammanfattning'!$E$8,0))</f>
        <v>4.2020999999999997</v>
      </c>
      <c r="E20" s="52">
        <f>IF(A20&gt;'1. Sammanfattning'!$E$10,0,'1. Sammanfattning'!$B$7*'1. Sammanfattning'!$B$14/1000000*(1+'1. Sammanfattning'!$E$11)^(A20-1))</f>
        <v>6.5207320991804067</v>
      </c>
      <c r="F20" s="52">
        <f>IF(A20&gt;'1. Sammanfattning'!$E$10,0,'1. Sammanfattning'!$B$7*'1. Sammanfattning'!$B$15/1000000*(1+'1. Sammanfattning'!$E$11)^(A20-1))</f>
        <v>1.7159821313632651</v>
      </c>
      <c r="G20" s="52">
        <f>IF(A20&gt;'1. Sammanfattning'!$E$10,0,-'1. Sammanfattning'!$B$18*(1+'1. Sammanfattning'!$E$11)^(A20-1))</f>
        <v>0</v>
      </c>
      <c r="H20" s="52">
        <f>IF(A20&gt;'1. Sammanfattning'!$E$10,0,IF(A20='1. Sammanfattning'!$B$17,$H$63*(1+'1. Sammanfattning'!$E$11)^(A20-1),0))</f>
        <v>0</v>
      </c>
      <c r="I20" s="53"/>
      <c r="J20" s="52">
        <f t="shared" si="0"/>
        <v>22.443814230543669</v>
      </c>
      <c r="K20" s="54"/>
    </row>
    <row r="21" spans="1:11" ht="15" customHeight="1" x14ac:dyDescent="0.25">
      <c r="A21" s="34">
        <v>18</v>
      </c>
      <c r="B21" s="35">
        <v>2043</v>
      </c>
      <c r="C21" s="52">
        <f>IF(A21&gt;'1. Sammanfattning'!$E$10,0,IF(A21&lt;=30,$H$62/30,0))</f>
        <v>10.004999999999999</v>
      </c>
      <c r="D21" s="52">
        <f>IF(A21&gt;'1. Sammanfattning'!$E$10,0,IF(A21&lt;=30,$H$62*(1-(A21-1)/30)*'1. Sammanfattning'!$E$8,0))</f>
        <v>3.9019499999999998</v>
      </c>
      <c r="E21" s="52">
        <f>IF(A21&gt;'1. Sammanfattning'!$E$10,0,'1. Sammanfattning'!$B$7*'1. Sammanfattning'!$B$14/1000000*(1+'1. Sammanfattning'!$E$11)^(A21-1))</f>
        <v>6.6511467411640162</v>
      </c>
      <c r="F21" s="52">
        <f>IF(A21&gt;'1. Sammanfattning'!$E$10,0,'1. Sammanfattning'!$B$7*'1. Sammanfattning'!$B$15/1000000*(1+'1. Sammanfattning'!$E$11)^(A21-1))</f>
        <v>1.7503017739905304</v>
      </c>
      <c r="G21" s="52">
        <f>IF(A21&gt;'1. Sammanfattning'!$E$10,0,-'1. Sammanfattning'!$B$18*(1+'1. Sammanfattning'!$E$11)^(A21-1))</f>
        <v>0</v>
      </c>
      <c r="H21" s="52">
        <f>IF(A21&gt;'1. Sammanfattning'!$E$10,0,IF(A21='1. Sammanfattning'!$B$17,$H$63*(1+'1. Sammanfattning'!$E$11)^(A21-1),0))</f>
        <v>0</v>
      </c>
      <c r="I21" s="53"/>
      <c r="J21" s="52">
        <f t="shared" si="0"/>
        <v>22.308398515154543</v>
      </c>
      <c r="K21" s="54"/>
    </row>
    <row r="22" spans="1:11" ht="15" customHeight="1" x14ac:dyDescent="0.25">
      <c r="A22" s="34">
        <v>19</v>
      </c>
      <c r="B22" s="35">
        <v>2044</v>
      </c>
      <c r="C22" s="52">
        <f>IF(A22&gt;'1. Sammanfattning'!$E$10,0,IF(A22&lt;=30,$H$62/30,0))</f>
        <v>10.004999999999999</v>
      </c>
      <c r="D22" s="52">
        <f>IF(A22&gt;'1. Sammanfattning'!$E$10,0,IF(A22&lt;=30,$H$62*(1-(A22-1)/30)*'1. Sammanfattning'!$E$8,0))</f>
        <v>3.6017999999999999</v>
      </c>
      <c r="E22" s="52">
        <f>IF(A22&gt;'1. Sammanfattning'!$E$10,0,'1. Sammanfattning'!$B$7*'1. Sammanfattning'!$B$14/1000000*(1+'1. Sammanfattning'!$E$11)^(A22-1))</f>
        <v>6.7841696759872958</v>
      </c>
      <c r="F22" s="52">
        <f>IF(A22&gt;'1. Sammanfattning'!$E$10,0,'1. Sammanfattning'!$B$7*'1. Sammanfattning'!$B$15/1000000*(1+'1. Sammanfattning'!$E$11)^(A22-1))</f>
        <v>1.785307809470341</v>
      </c>
      <c r="G22" s="52">
        <f>IF(A22&gt;'1. Sammanfattning'!$E$10,0,-'1. Sammanfattning'!$B$18*(1+'1. Sammanfattning'!$E$11)^(A22-1))</f>
        <v>0</v>
      </c>
      <c r="H22" s="52">
        <f>IF(A22&gt;'1. Sammanfattning'!$E$10,0,IF(A22='1. Sammanfattning'!$B$17,$H$63*(1+'1. Sammanfattning'!$E$11)^(A22-1),0))</f>
        <v>0</v>
      </c>
      <c r="I22" s="53"/>
      <c r="J22" s="52">
        <f t="shared" si="0"/>
        <v>22.176277485457639</v>
      </c>
      <c r="K22" s="54"/>
    </row>
    <row r="23" spans="1:11" ht="15" customHeight="1" x14ac:dyDescent="0.25">
      <c r="A23" s="34">
        <v>20</v>
      </c>
      <c r="B23" s="35">
        <v>2045</v>
      </c>
      <c r="C23" s="52">
        <f>IF(A23&gt;'1. Sammanfattning'!$E$10,0,IF(A23&lt;=30,$H$62/30,0))</f>
        <v>10.004999999999999</v>
      </c>
      <c r="D23" s="52">
        <f>IF(A23&gt;'1. Sammanfattning'!$E$10,0,IF(A23&lt;=30,$H$62*(1-(A23-1)/30)*'1. Sammanfattning'!$E$8,0))</f>
        <v>3.30165</v>
      </c>
      <c r="E23" s="52">
        <f>IF(A23&gt;'1. Sammanfattning'!$E$10,0,'1. Sammanfattning'!$B$7*'1. Sammanfattning'!$B$14/1000000*(1+'1. Sammanfattning'!$E$11)^(A23-1))</f>
        <v>6.9198530695070408</v>
      </c>
      <c r="F23" s="52">
        <f>IF(A23&gt;'1. Sammanfattning'!$E$10,0,'1. Sammanfattning'!$B$7*'1. Sammanfattning'!$B$15/1000000*(1+'1. Sammanfattning'!$E$11)^(A23-1))</f>
        <v>1.8210139656597477</v>
      </c>
      <c r="G23" s="52">
        <f>IF(A23&gt;'1. Sammanfattning'!$E$10,0,-'1. Sammanfattning'!$B$18*(1+'1. Sammanfattning'!$E$11)^(A23-1))</f>
        <v>0</v>
      </c>
      <c r="H23" s="52">
        <f>IF(A23&gt;'1. Sammanfattning'!$E$10,0,IF(A23='1. Sammanfattning'!$B$17,$H$63*(1+'1. Sammanfattning'!$E$11)^(A23-1),0))</f>
        <v>0</v>
      </c>
      <c r="I23" s="53"/>
      <c r="J23" s="52">
        <f t="shared" si="0"/>
        <v>22.047517035166788</v>
      </c>
      <c r="K23" s="54"/>
    </row>
    <row r="24" spans="1:11" ht="15" customHeight="1" x14ac:dyDescent="0.25">
      <c r="A24" s="34">
        <v>21</v>
      </c>
      <c r="B24" s="35">
        <v>2046</v>
      </c>
      <c r="C24" s="52">
        <f>IF(A24&gt;'1. Sammanfattning'!$E$10,0,IF(A24&lt;=30,$H$62/30,0))</f>
        <v>10.004999999999999</v>
      </c>
      <c r="D24" s="52">
        <f>IF(A24&gt;'1. Sammanfattning'!$E$10,0,IF(A24&lt;=30,$H$62*(1-(A24-1)/30)*'1. Sammanfattning'!$E$8,0))</f>
        <v>3.0014999999999996</v>
      </c>
      <c r="E24" s="52">
        <f>IF(A24&gt;'1. Sammanfattning'!$E$10,0,'1. Sammanfattning'!$B$7*'1. Sammanfattning'!$B$14/1000000*(1+'1. Sammanfattning'!$E$11)^(A24-1))</f>
        <v>7.058250130897183</v>
      </c>
      <c r="F24" s="52">
        <f>IF(A24&gt;'1. Sammanfattning'!$E$10,0,'1. Sammanfattning'!$B$7*'1. Sammanfattning'!$B$15/1000000*(1+'1. Sammanfattning'!$E$11)^(A24-1))</f>
        <v>1.8574342449729428</v>
      </c>
      <c r="G24" s="52">
        <f>IF(A24&gt;'1. Sammanfattning'!$E$10,0,-'1. Sammanfattning'!$B$18*(1+'1. Sammanfattning'!$E$11)^(A24-1))</f>
        <v>0</v>
      </c>
      <c r="H24" s="52">
        <f>IF(A24&gt;'1. Sammanfattning'!$E$10,0,IF(A24='1. Sammanfattning'!$B$17,$H$63*(1+'1. Sammanfattning'!$E$11)^(A24-1),0))</f>
        <v>0</v>
      </c>
      <c r="I24" s="53"/>
      <c r="J24" s="52">
        <f t="shared" si="0"/>
        <v>21.922184375870124</v>
      </c>
      <c r="K24" s="54"/>
    </row>
    <row r="25" spans="1:11" ht="15" customHeight="1" x14ac:dyDescent="0.25">
      <c r="A25" s="34">
        <v>22</v>
      </c>
      <c r="B25" s="35">
        <v>2047</v>
      </c>
      <c r="C25" s="52">
        <f>IF(A25&gt;'1. Sammanfattning'!$E$10,0,IF(A25&lt;=30,$H$62/30,0))</f>
        <v>10.004999999999999</v>
      </c>
      <c r="D25" s="52">
        <f>IF(A25&gt;'1. Sammanfattning'!$E$10,0,IF(A25&lt;=30,$H$62*(1-(A25-1)/30)*'1. Sammanfattning'!$E$8,0))</f>
        <v>2.7013500000000001</v>
      </c>
      <c r="E25" s="52">
        <f>IF(A25&gt;'1. Sammanfattning'!$E$10,0,'1. Sammanfattning'!$B$7*'1. Sammanfattning'!$B$14/1000000*(1+'1. Sammanfattning'!$E$11)^(A25-1))</f>
        <v>7.1994151335151262</v>
      </c>
      <c r="F25" s="52">
        <f>IF(A25&gt;'1. Sammanfattning'!$E$10,0,'1. Sammanfattning'!$B$7*'1. Sammanfattning'!$B$15/1000000*(1+'1. Sammanfattning'!$E$11)^(A25-1))</f>
        <v>1.8945829298724015</v>
      </c>
      <c r="G25" s="52">
        <f>IF(A25&gt;'1. Sammanfattning'!$E$10,0,-'1. Sammanfattning'!$B$18*(1+'1. Sammanfattning'!$E$11)^(A25-1))</f>
        <v>0</v>
      </c>
      <c r="H25" s="52">
        <f>IF(A25&gt;'1. Sammanfattning'!$E$10,0,IF(A25='1. Sammanfattning'!$B$17,$H$63*(1+'1. Sammanfattning'!$E$11)^(A25-1),0))</f>
        <v>0</v>
      </c>
      <c r="I25" s="53"/>
      <c r="J25" s="52">
        <f t="shared" si="0"/>
        <v>21.800348063387528</v>
      </c>
      <c r="K25" s="54"/>
    </row>
    <row r="26" spans="1:11" ht="15" customHeight="1" x14ac:dyDescent="0.25">
      <c r="A26" s="34">
        <v>23</v>
      </c>
      <c r="B26" s="35">
        <v>2048</v>
      </c>
      <c r="C26" s="52">
        <f>IF(A26&gt;'1. Sammanfattning'!$E$10,0,IF(A26&lt;=30,$H$62/30,0))</f>
        <v>10.004999999999999</v>
      </c>
      <c r="D26" s="52">
        <f>IF(A26&gt;'1. Sammanfattning'!$E$10,0,IF(A26&lt;=30,$H$62*(1-(A26-1)/30)*'1. Sammanfattning'!$E$8,0))</f>
        <v>2.4012000000000002</v>
      </c>
      <c r="E26" s="52">
        <f>IF(A26&gt;'1. Sammanfattning'!$E$10,0,'1. Sammanfattning'!$B$7*'1. Sammanfattning'!$B$14/1000000*(1+'1. Sammanfattning'!$E$11)^(A26-1))</f>
        <v>7.3434034361854286</v>
      </c>
      <c r="F26" s="52">
        <f>IF(A26&gt;'1. Sammanfattning'!$E$10,0,'1. Sammanfattning'!$B$7*'1. Sammanfattning'!$B$15/1000000*(1+'1. Sammanfattning'!$E$11)^(A26-1))</f>
        <v>1.9324745884698498</v>
      </c>
      <c r="G26" s="52">
        <f>IF(A26&gt;'1. Sammanfattning'!$E$10,0,-'1. Sammanfattning'!$B$18*(1+'1. Sammanfattning'!$E$11)^(A26-1))</f>
        <v>0</v>
      </c>
      <c r="H26" s="52">
        <f>IF(A26&gt;'1. Sammanfattning'!$E$10,0,IF(A26='1. Sammanfattning'!$B$17,$H$63*(1+'1. Sammanfattning'!$E$11)^(A26-1),0))</f>
        <v>0</v>
      </c>
      <c r="I26" s="53"/>
      <c r="J26" s="52">
        <f t="shared" si="0"/>
        <v>21.682078024655276</v>
      </c>
      <c r="K26" s="54"/>
    </row>
    <row r="27" spans="1:11" ht="15" customHeight="1" x14ac:dyDescent="0.25">
      <c r="A27" s="34">
        <v>24</v>
      </c>
      <c r="B27" s="35">
        <v>2049</v>
      </c>
      <c r="C27" s="52">
        <f>IF(A27&gt;'1. Sammanfattning'!$E$10,0,IF(A27&lt;=30,$H$62/30,0))</f>
        <v>10.004999999999999</v>
      </c>
      <c r="D27" s="52">
        <f>IF(A27&gt;'1. Sammanfattning'!$E$10,0,IF(A27&lt;=30,$H$62*(1-(A27-1)/30)*'1. Sammanfattning'!$E$8,0))</f>
        <v>2.1010499999999994</v>
      </c>
      <c r="E27" s="52">
        <f>IF(A27&gt;'1. Sammanfattning'!$E$10,0,'1. Sammanfattning'!$B$7*'1. Sammanfattning'!$B$14/1000000*(1+'1. Sammanfattning'!$E$11)^(A27-1))</f>
        <v>7.4902715049091357</v>
      </c>
      <c r="F27" s="52">
        <f>IF(A27&gt;'1. Sammanfattning'!$E$10,0,'1. Sammanfattning'!$B$7*'1. Sammanfattning'!$B$15/1000000*(1+'1. Sammanfattning'!$E$11)^(A27-1))</f>
        <v>1.9711240802392462</v>
      </c>
      <c r="G27" s="52">
        <f>IF(A27&gt;'1. Sammanfattning'!$E$10,0,-'1. Sammanfattning'!$B$18*(1+'1. Sammanfattning'!$E$11)^(A27-1))</f>
        <v>0</v>
      </c>
      <c r="H27" s="52">
        <f>IF(A27&gt;'1. Sammanfattning'!$E$10,0,IF(A27='1. Sammanfattning'!$B$17,$H$63*(1+'1. Sammanfattning'!$E$11)^(A27-1),0))</f>
        <v>0</v>
      </c>
      <c r="I27" s="53"/>
      <c r="J27" s="52">
        <f t="shared" si="0"/>
        <v>21.567445585148381</v>
      </c>
      <c r="K27" s="54"/>
    </row>
    <row r="28" spans="1:11" ht="15" customHeight="1" x14ac:dyDescent="0.25">
      <c r="A28" s="34">
        <v>25</v>
      </c>
      <c r="B28" s="35">
        <v>2050</v>
      </c>
      <c r="C28" s="52">
        <f>IF(A28&gt;'1. Sammanfattning'!$E$10,0,IF(A28&lt;=30,$H$62/30,0))</f>
        <v>10.004999999999999</v>
      </c>
      <c r="D28" s="52">
        <f>IF(A28&gt;'1. Sammanfattning'!$E$10,0,IF(A28&lt;=30,$H$62*(1-(A28-1)/30)*'1. Sammanfattning'!$E$8,0))</f>
        <v>1.8008999999999993</v>
      </c>
      <c r="E28" s="52">
        <f>IF(A28&gt;'1. Sammanfattning'!$E$10,0,'1. Sammanfattning'!$B$7*'1. Sammanfattning'!$B$14/1000000*(1+'1. Sammanfattning'!$E$11)^(A28-1))</f>
        <v>7.6400769350073192</v>
      </c>
      <c r="F28" s="52">
        <f>IF(A28&gt;'1. Sammanfattning'!$E$10,0,'1. Sammanfattning'!$B$7*'1. Sammanfattning'!$B$15/1000000*(1+'1. Sammanfattning'!$E$11)^(A28-1))</f>
        <v>2.0105465618440315</v>
      </c>
      <c r="G28" s="52">
        <f>IF(A28&gt;'1. Sammanfattning'!$E$10,0,-'1. Sammanfattning'!$B$18*(1+'1. Sammanfattning'!$E$11)^(A28-1))</f>
        <v>0</v>
      </c>
      <c r="H28" s="52">
        <f>IF(A28&gt;'1. Sammanfattning'!$E$10,0,IF(A28='1. Sammanfattning'!$B$17,$H$63*(1+'1. Sammanfattning'!$E$11)^(A28-1),0))</f>
        <v>0</v>
      </c>
      <c r="I28" s="53"/>
      <c r="J28" s="52">
        <f t="shared" si="0"/>
        <v>21.456523496851347</v>
      </c>
      <c r="K28" s="54"/>
    </row>
    <row r="29" spans="1:11" ht="15" customHeight="1" x14ac:dyDescent="0.25">
      <c r="A29" s="34">
        <v>26</v>
      </c>
      <c r="B29" s="35">
        <v>2051</v>
      </c>
      <c r="C29" s="52">
        <f>IF(A29&gt;'1. Sammanfattning'!$E$10,0,IF(A29&lt;=30,$H$62/30,0))</f>
        <v>10.004999999999999</v>
      </c>
      <c r="D29" s="52">
        <f>IF(A29&gt;'1. Sammanfattning'!$E$10,0,IF(A29&lt;=30,$H$62*(1-(A29-1)/30)*'1. Sammanfattning'!$E$8,0))</f>
        <v>1.5007499999999996</v>
      </c>
      <c r="E29" s="52">
        <f>IF(A29&gt;'1. Sammanfattning'!$E$10,0,'1. Sammanfattning'!$B$7*'1. Sammanfattning'!$B$14/1000000*(1+'1. Sammanfattning'!$E$11)^(A29-1))</f>
        <v>7.7928784737074652</v>
      </c>
      <c r="F29" s="52">
        <f>IF(A29&gt;'1. Sammanfattning'!$E$10,0,'1. Sammanfattning'!$B$7*'1. Sammanfattning'!$B$15/1000000*(1+'1. Sammanfattning'!$E$11)^(A29-1))</f>
        <v>2.050757493080912</v>
      </c>
      <c r="G29" s="52">
        <f>IF(A29&gt;'1. Sammanfattning'!$E$10,0,-'1. Sammanfattning'!$B$18*(1+'1. Sammanfattning'!$E$11)^(A29-1))</f>
        <v>0</v>
      </c>
      <c r="H29" s="52">
        <f>IF(A29&gt;'1. Sammanfattning'!$E$10,0,IF(A29='1. Sammanfattning'!$B$17,$H$63*(1+'1. Sammanfattning'!$E$11)^(A29-1),0))</f>
        <v>0</v>
      </c>
      <c r="I29" s="53"/>
      <c r="J29" s="52">
        <f t="shared" si="0"/>
        <v>21.349385966788375</v>
      </c>
      <c r="K29" s="54"/>
    </row>
    <row r="30" spans="1:11" ht="15" customHeight="1" x14ac:dyDescent="0.25">
      <c r="A30" s="34">
        <v>27</v>
      </c>
      <c r="B30" s="35">
        <v>2052</v>
      </c>
      <c r="C30" s="52">
        <f>IF(A30&gt;'1. Sammanfattning'!$E$10,0,IF(A30&lt;=30,$H$62/30,0))</f>
        <v>10.004999999999999</v>
      </c>
      <c r="D30" s="52">
        <f>IF(A30&gt;'1. Sammanfattning'!$E$10,0,IF(A30&lt;=30,$H$62*(1-(A30-1)/30)*'1. Sammanfattning'!$E$8,0))</f>
        <v>1.2005999999999997</v>
      </c>
      <c r="E30" s="52">
        <f>IF(A30&gt;'1. Sammanfattning'!$E$10,0,'1. Sammanfattning'!$B$7*'1. Sammanfattning'!$B$14/1000000*(1+'1. Sammanfattning'!$E$11)^(A30-1))</f>
        <v>7.9487360431816159</v>
      </c>
      <c r="F30" s="52">
        <f>IF(A30&gt;'1. Sammanfattning'!$E$10,0,'1. Sammanfattning'!$B$7*'1. Sammanfattning'!$B$15/1000000*(1+'1. Sammanfattning'!$E$11)^(A30-1))</f>
        <v>2.0917726429425305</v>
      </c>
      <c r="G30" s="52">
        <f>IF(A30&gt;'1. Sammanfattning'!$E$10,0,-'1. Sammanfattning'!$B$18*(1+'1. Sammanfattning'!$E$11)^(A30-1))</f>
        <v>0</v>
      </c>
      <c r="H30" s="52">
        <f>IF(A30&gt;'1. Sammanfattning'!$E$10,0,IF(A30='1. Sammanfattning'!$B$17,$H$63*(1+'1. Sammanfattning'!$E$11)^(A30-1),0))</f>
        <v>0</v>
      </c>
      <c r="I30" s="53"/>
      <c r="J30" s="52">
        <f t="shared" si="0"/>
        <v>21.246108686124145</v>
      </c>
      <c r="K30" s="54"/>
    </row>
    <row r="31" spans="1:11" ht="15" customHeight="1" x14ac:dyDescent="0.25">
      <c r="A31" s="34">
        <v>28</v>
      </c>
      <c r="B31" s="35">
        <v>2053</v>
      </c>
      <c r="C31" s="52">
        <f>IF(A31&gt;'1. Sammanfattning'!$E$10,0,IF(A31&lt;=30,$H$62/30,0))</f>
        <v>10.004999999999999</v>
      </c>
      <c r="D31" s="52">
        <f>IF(A31&gt;'1. Sammanfattning'!$E$10,0,IF(A31&lt;=30,$H$62*(1-(A31-1)/30)*'1. Sammanfattning'!$E$8,0))</f>
        <v>0.90044999999999964</v>
      </c>
      <c r="E31" s="52">
        <f>IF(A31&gt;'1. Sammanfattning'!$E$10,0,'1. Sammanfattning'!$B$7*'1. Sammanfattning'!$B$14/1000000*(1+'1. Sammanfattning'!$E$11)^(A31-1))</f>
        <v>8.1077107640452457</v>
      </c>
      <c r="F31" s="52">
        <f>IF(A31&gt;'1. Sammanfattning'!$E$10,0,'1. Sammanfattning'!$B$7*'1. Sammanfattning'!$B$15/1000000*(1+'1. Sammanfattning'!$E$11)^(A31-1))</f>
        <v>2.1336080958013808</v>
      </c>
      <c r="G31" s="52">
        <f>IF(A31&gt;'1. Sammanfattning'!$E$10,0,-'1. Sammanfattning'!$B$18*(1+'1. Sammanfattning'!$E$11)^(A31-1))</f>
        <v>0</v>
      </c>
      <c r="H31" s="52">
        <f>IF(A31&gt;'1. Sammanfattning'!$E$10,0,IF(A31='1. Sammanfattning'!$B$17,$H$63*(1+'1. Sammanfattning'!$E$11)^(A31-1),0))</f>
        <v>0</v>
      </c>
      <c r="I31" s="53"/>
      <c r="J31" s="52">
        <f t="shared" si="0"/>
        <v>21.146768859846627</v>
      </c>
      <c r="K31" s="54"/>
    </row>
    <row r="32" spans="1:11" ht="15" customHeight="1" x14ac:dyDescent="0.25">
      <c r="A32" s="34">
        <v>29</v>
      </c>
      <c r="B32" s="35">
        <v>2054</v>
      </c>
      <c r="C32" s="52">
        <f>IF(A32&gt;'1. Sammanfattning'!$E$10,0,IF(A32&lt;=30,$H$62/30,0))</f>
        <v>10.004999999999999</v>
      </c>
      <c r="D32" s="52">
        <f>IF(A32&gt;'1. Sammanfattning'!$E$10,0,IF(A32&lt;=30,$H$62*(1-(A32-1)/30)*'1. Sammanfattning'!$E$8,0))</f>
        <v>0.60029999999999983</v>
      </c>
      <c r="E32" s="52">
        <f>IF(A32&gt;'1. Sammanfattning'!$E$10,0,'1. Sammanfattning'!$B$7*'1. Sammanfattning'!$B$14/1000000*(1+'1. Sammanfattning'!$E$11)^(A32-1))</f>
        <v>8.2698649793261527</v>
      </c>
      <c r="F32" s="52">
        <f>IF(A32&gt;'1. Sammanfattning'!$E$10,0,'1. Sammanfattning'!$B$7*'1. Sammanfattning'!$B$15/1000000*(1+'1. Sammanfattning'!$E$11)^(A32-1))</f>
        <v>2.1762802577174085</v>
      </c>
      <c r="G32" s="52">
        <f>IF(A32&gt;'1. Sammanfattning'!$E$10,0,-'1. Sammanfattning'!$B$18*(1+'1. Sammanfattning'!$E$11)^(A32-1))</f>
        <v>0</v>
      </c>
      <c r="H32" s="52">
        <f>IF(A32&gt;'1. Sammanfattning'!$E$10,0,IF(A32='1. Sammanfattning'!$B$17,$H$63*(1+'1. Sammanfattning'!$E$11)^(A32-1),0))</f>
        <v>0</v>
      </c>
      <c r="I32" s="53"/>
      <c r="J32" s="52">
        <f t="shared" si="0"/>
        <v>21.051445237043559</v>
      </c>
      <c r="K32" s="54"/>
    </row>
    <row r="33" spans="1:11" ht="15" customHeight="1" x14ac:dyDescent="0.25">
      <c r="A33" s="34">
        <v>30</v>
      </c>
      <c r="B33" s="35">
        <v>2055</v>
      </c>
      <c r="C33" s="52">
        <f>IF(A33&gt;'1. Sammanfattning'!$E$10,0,IF(A33&lt;=30,$H$62/30,0))</f>
        <v>10.004999999999999</v>
      </c>
      <c r="D33" s="52">
        <f>IF(A33&gt;'1. Sammanfattning'!$E$10,0,IF(A33&lt;=30,$H$62*(1-(A33-1)/30)*'1. Sammanfattning'!$E$8,0))</f>
        <v>0.30014999999999992</v>
      </c>
      <c r="E33" s="52">
        <f>IF(A33&gt;'1. Sammanfattning'!$E$10,0,'1. Sammanfattning'!$B$7*'1. Sammanfattning'!$B$14/1000000*(1+'1. Sammanfattning'!$E$11)^(A33-1))</f>
        <v>8.4352622789126741</v>
      </c>
      <c r="F33" s="52">
        <f>IF(A33&gt;'1. Sammanfattning'!$E$10,0,'1. Sammanfattning'!$B$7*'1. Sammanfattning'!$B$15/1000000*(1+'1. Sammanfattning'!$E$11)^(A33-1))</f>
        <v>2.2198058628717563</v>
      </c>
      <c r="G33" s="52">
        <f>IF(A33&gt;'1. Sammanfattning'!$E$10,0,-'1. Sammanfattning'!$B$18*(1+'1. Sammanfattning'!$E$11)^(A33-1))</f>
        <v>0</v>
      </c>
      <c r="H33" s="52">
        <f>IF(A33&gt;'1. Sammanfattning'!$E$10,0,IF(A33='1. Sammanfattning'!$B$17,$H$63*(1+'1. Sammanfattning'!$E$11)^(A33-1),0))</f>
        <v>0</v>
      </c>
      <c r="I33" s="53"/>
      <c r="J33" s="52">
        <f t="shared" si="0"/>
        <v>20.960218141784427</v>
      </c>
      <c r="K33" s="54"/>
    </row>
    <row r="34" spans="1:11" ht="15" customHeight="1" x14ac:dyDescent="0.25">
      <c r="A34" s="34">
        <v>31</v>
      </c>
      <c r="B34" s="35">
        <v>2056</v>
      </c>
      <c r="C34" s="52">
        <f>IF(A34&gt;'1. Sammanfattning'!$E$10,0,IF(A34&lt;=30,$H$62/30,0))</f>
        <v>0</v>
      </c>
      <c r="D34" s="52">
        <f>IF(A34&gt;'1. Sammanfattning'!$E$10,0,IF(A34&lt;=30,$H$62*(1-(A34-1)/30)*'1. Sammanfattning'!$E$8,0))</f>
        <v>0</v>
      </c>
      <c r="E34" s="52">
        <f>IF(A34&gt;'1. Sammanfattning'!$E$10,0,'1. Sammanfattning'!$B$7*'1. Sammanfattning'!$B$14/1000000*(1+'1. Sammanfattning'!$E$11)^(A34-1))</f>
        <v>0</v>
      </c>
      <c r="F34" s="52">
        <f>IF(A34&gt;'1. Sammanfattning'!$E$10,0,'1. Sammanfattning'!$B$7*'1. Sammanfattning'!$B$15/1000000*(1+'1. Sammanfattning'!$E$11)^(A34-1))</f>
        <v>0</v>
      </c>
      <c r="G34" s="52">
        <f>IF(A34&gt;'1. Sammanfattning'!$E$10,0,-'1. Sammanfattning'!$B$18*(1+'1. Sammanfattning'!$E$11)^(A34-1))</f>
        <v>0</v>
      </c>
      <c r="H34" s="52">
        <f>IF(A34&gt;'1. Sammanfattning'!$E$10,0,IF(A34='1. Sammanfattning'!$B$17,$H$63*(1+'1. Sammanfattning'!$E$11)^(A34-1),0))</f>
        <v>0</v>
      </c>
      <c r="I34" s="53"/>
      <c r="J34" s="52">
        <f t="shared" si="0"/>
        <v>0</v>
      </c>
      <c r="K34" s="54"/>
    </row>
    <row r="35" spans="1:11" ht="15" customHeight="1" x14ac:dyDescent="0.25">
      <c r="A35" s="34">
        <v>32</v>
      </c>
      <c r="B35" s="35">
        <v>2057</v>
      </c>
      <c r="C35" s="52">
        <f>IF(A35&gt;'1. Sammanfattning'!$E$10,0,IF(A35&lt;=30,$H$62/30,0))</f>
        <v>0</v>
      </c>
      <c r="D35" s="52">
        <f>IF(A35&gt;'1. Sammanfattning'!$E$10,0,IF(A35&lt;=30,$H$62*(1-(A35-1)/30)*'1. Sammanfattning'!$E$8,0))</f>
        <v>0</v>
      </c>
      <c r="E35" s="52">
        <f>IF(A35&gt;'1. Sammanfattning'!$E$10,0,'1. Sammanfattning'!$B$7*'1. Sammanfattning'!$B$14/1000000*(1+'1. Sammanfattning'!$E$11)^(A35-1))</f>
        <v>0</v>
      </c>
      <c r="F35" s="52">
        <f>IF(A35&gt;'1. Sammanfattning'!$E$10,0,'1. Sammanfattning'!$B$7*'1. Sammanfattning'!$B$15/1000000*(1+'1. Sammanfattning'!$E$11)^(A35-1))</f>
        <v>0</v>
      </c>
      <c r="G35" s="52">
        <f>IF(A35&gt;'1. Sammanfattning'!$E$10,0,-'1. Sammanfattning'!$B$18*(1+'1. Sammanfattning'!$E$11)^(A35-1))</f>
        <v>0</v>
      </c>
      <c r="H35" s="52">
        <f>IF(A35&gt;'1. Sammanfattning'!$E$10,0,IF(A35='1. Sammanfattning'!$B$17,$H$63*(1+'1. Sammanfattning'!$E$11)^(A35-1),0))</f>
        <v>0</v>
      </c>
      <c r="I35" s="53"/>
      <c r="J35" s="52">
        <f t="shared" si="0"/>
        <v>0</v>
      </c>
      <c r="K35" s="54"/>
    </row>
    <row r="36" spans="1:11" ht="15" customHeight="1" x14ac:dyDescent="0.25">
      <c r="A36" s="34">
        <v>33</v>
      </c>
      <c r="B36" s="35">
        <v>2058</v>
      </c>
      <c r="C36" s="52">
        <f>IF(A36&gt;'1. Sammanfattning'!$E$10,0,IF(A36&lt;=30,$H$62/30,0))</f>
        <v>0</v>
      </c>
      <c r="D36" s="52">
        <f>IF(A36&gt;'1. Sammanfattning'!$E$10,0,IF(A36&lt;=30,$H$62*(1-(A36-1)/30)*'1. Sammanfattning'!$E$8,0))</f>
        <v>0</v>
      </c>
      <c r="E36" s="52">
        <f>IF(A36&gt;'1. Sammanfattning'!$E$10,0,'1. Sammanfattning'!$B$7*'1. Sammanfattning'!$B$14/1000000*(1+'1. Sammanfattning'!$E$11)^(A36-1))</f>
        <v>0</v>
      </c>
      <c r="F36" s="52">
        <f>IF(A36&gt;'1. Sammanfattning'!$E$10,0,'1. Sammanfattning'!$B$7*'1. Sammanfattning'!$B$15/1000000*(1+'1. Sammanfattning'!$E$11)^(A36-1))</f>
        <v>0</v>
      </c>
      <c r="G36" s="52">
        <f>IF(A36&gt;'1. Sammanfattning'!$E$10,0,-'1. Sammanfattning'!$B$18*(1+'1. Sammanfattning'!$E$11)^(A36-1))</f>
        <v>0</v>
      </c>
      <c r="H36" s="52">
        <f>IF(A36&gt;'1. Sammanfattning'!$E$10,0,IF(A36='1. Sammanfattning'!$B$17,$H$63*(1+'1. Sammanfattning'!$E$11)^(A36-1),0))</f>
        <v>0</v>
      </c>
      <c r="I36" s="53"/>
      <c r="J36" s="52">
        <f t="shared" ref="J36:J53" si="1">SUM(C36:G36)+H36</f>
        <v>0</v>
      </c>
      <c r="K36" s="54"/>
    </row>
    <row r="37" spans="1:11" ht="15" customHeight="1" x14ac:dyDescent="0.25">
      <c r="A37" s="34">
        <v>34</v>
      </c>
      <c r="B37" s="35">
        <v>2059</v>
      </c>
      <c r="C37" s="52">
        <f>IF(A37&gt;'1. Sammanfattning'!$E$10,0,IF(A37&lt;=30,$H$62/30,0))</f>
        <v>0</v>
      </c>
      <c r="D37" s="52">
        <f>IF(A37&gt;'1. Sammanfattning'!$E$10,0,IF(A37&lt;=30,$H$62*(1-(A37-1)/30)*'1. Sammanfattning'!$E$8,0))</f>
        <v>0</v>
      </c>
      <c r="E37" s="52">
        <f>IF(A37&gt;'1. Sammanfattning'!$E$10,0,'1. Sammanfattning'!$B$7*'1. Sammanfattning'!$B$14/1000000*(1+'1. Sammanfattning'!$E$11)^(A37-1))</f>
        <v>0</v>
      </c>
      <c r="F37" s="52">
        <f>IF(A37&gt;'1. Sammanfattning'!$E$10,0,'1. Sammanfattning'!$B$7*'1. Sammanfattning'!$B$15/1000000*(1+'1. Sammanfattning'!$E$11)^(A37-1))</f>
        <v>0</v>
      </c>
      <c r="G37" s="52">
        <f>IF(A37&gt;'1. Sammanfattning'!$E$10,0,-'1. Sammanfattning'!$B$18*(1+'1. Sammanfattning'!$E$11)^(A37-1))</f>
        <v>0</v>
      </c>
      <c r="H37" s="52">
        <f>IF(A37&gt;'1. Sammanfattning'!$E$10,0,IF(A37='1. Sammanfattning'!$B$17,$H$63*(1+'1. Sammanfattning'!$E$11)^(A37-1),0))</f>
        <v>0</v>
      </c>
      <c r="I37" s="53"/>
      <c r="J37" s="52">
        <f t="shared" si="1"/>
        <v>0</v>
      </c>
      <c r="K37" s="54"/>
    </row>
    <row r="38" spans="1:11" ht="15" customHeight="1" x14ac:dyDescent="0.25">
      <c r="A38" s="34">
        <v>35</v>
      </c>
      <c r="B38" s="35">
        <v>2060</v>
      </c>
      <c r="C38" s="52">
        <f>IF(A38&gt;'1. Sammanfattning'!$E$10,0,IF(A38&lt;=30,$H$62/30,0))</f>
        <v>0</v>
      </c>
      <c r="D38" s="52">
        <f>IF(A38&gt;'1. Sammanfattning'!$E$10,0,IF(A38&lt;=30,$H$62*(1-(A38-1)/30)*'1. Sammanfattning'!$E$8,0))</f>
        <v>0</v>
      </c>
      <c r="E38" s="52">
        <f>IF(A38&gt;'1. Sammanfattning'!$E$10,0,'1. Sammanfattning'!$B$7*'1. Sammanfattning'!$B$14/1000000*(1+'1. Sammanfattning'!$E$11)^(A38-1))</f>
        <v>0</v>
      </c>
      <c r="F38" s="52">
        <f>IF(A38&gt;'1. Sammanfattning'!$E$10,0,'1. Sammanfattning'!$B$7*'1. Sammanfattning'!$B$15/1000000*(1+'1. Sammanfattning'!$E$11)^(A38-1))</f>
        <v>0</v>
      </c>
      <c r="G38" s="52">
        <f>IF(A38&gt;'1. Sammanfattning'!$E$10,0,-'1. Sammanfattning'!$B$18*(1+'1. Sammanfattning'!$E$11)^(A38-1))</f>
        <v>0</v>
      </c>
      <c r="H38" s="52">
        <f>IF(A38&gt;'1. Sammanfattning'!$E$10,0,IF(A38='1. Sammanfattning'!$B$17,$H$63*(1+'1. Sammanfattning'!$E$11)^(A38-1),0))</f>
        <v>0</v>
      </c>
      <c r="I38" s="53"/>
      <c r="J38" s="52">
        <f t="shared" si="1"/>
        <v>0</v>
      </c>
      <c r="K38" s="54"/>
    </row>
    <row r="39" spans="1:11" ht="15" customHeight="1" x14ac:dyDescent="0.25">
      <c r="A39" s="34">
        <v>36</v>
      </c>
      <c r="B39" s="35">
        <v>2061</v>
      </c>
      <c r="C39" s="52">
        <f>IF(A39&gt;'1. Sammanfattning'!$E$10,0,IF(A39&lt;=30,$H$62/30,0))</f>
        <v>0</v>
      </c>
      <c r="D39" s="52">
        <f>IF(A39&gt;'1. Sammanfattning'!$E$10,0,IF(A39&lt;=30,$H$62*(1-(A39-1)/30)*'1. Sammanfattning'!$E$8,0))</f>
        <v>0</v>
      </c>
      <c r="E39" s="52">
        <f>IF(A39&gt;'1. Sammanfattning'!$E$10,0,'1. Sammanfattning'!$B$7*'1. Sammanfattning'!$B$14/1000000*(1+'1. Sammanfattning'!$E$11)^(A39-1))</f>
        <v>0</v>
      </c>
      <c r="F39" s="52">
        <f>IF(A39&gt;'1. Sammanfattning'!$E$10,0,'1. Sammanfattning'!$B$7*'1. Sammanfattning'!$B$15/1000000*(1+'1. Sammanfattning'!$E$11)^(A39-1))</f>
        <v>0</v>
      </c>
      <c r="G39" s="52">
        <f>IF(A39&gt;'1. Sammanfattning'!$E$10,0,-'1. Sammanfattning'!$B$18*(1+'1. Sammanfattning'!$E$11)^(A39-1))</f>
        <v>0</v>
      </c>
      <c r="H39" s="52">
        <f>IF(A39&gt;'1. Sammanfattning'!$E$10,0,IF(A39='1. Sammanfattning'!$B$17,$H$63*(1+'1. Sammanfattning'!$E$11)^(A39-1),0))</f>
        <v>0</v>
      </c>
      <c r="I39" s="53"/>
      <c r="J39" s="52">
        <f t="shared" si="1"/>
        <v>0</v>
      </c>
      <c r="K39" s="54"/>
    </row>
    <row r="40" spans="1:11" ht="15" customHeight="1" x14ac:dyDescent="0.25">
      <c r="A40" s="34">
        <v>37</v>
      </c>
      <c r="B40" s="35">
        <v>2062</v>
      </c>
      <c r="C40" s="52">
        <f>IF(A40&gt;'1. Sammanfattning'!$E$10,0,IF(A40&lt;=30,$H$62/30,0))</f>
        <v>0</v>
      </c>
      <c r="D40" s="52">
        <f>IF(A40&gt;'1. Sammanfattning'!$E$10,0,IF(A40&lt;=30,$H$62*(1-(A40-1)/30)*'1. Sammanfattning'!$E$8,0))</f>
        <v>0</v>
      </c>
      <c r="E40" s="52">
        <f>IF(A40&gt;'1. Sammanfattning'!$E$10,0,'1. Sammanfattning'!$B$7*'1. Sammanfattning'!$B$14/1000000*(1+'1. Sammanfattning'!$E$11)^(A40-1))</f>
        <v>0</v>
      </c>
      <c r="F40" s="52">
        <f>IF(A40&gt;'1. Sammanfattning'!$E$10,0,'1. Sammanfattning'!$B$7*'1. Sammanfattning'!$B$15/1000000*(1+'1. Sammanfattning'!$E$11)^(A40-1))</f>
        <v>0</v>
      </c>
      <c r="G40" s="52">
        <f>IF(A40&gt;'1. Sammanfattning'!$E$10,0,-'1. Sammanfattning'!$B$18*(1+'1. Sammanfattning'!$E$11)^(A40-1))</f>
        <v>0</v>
      </c>
      <c r="H40" s="52">
        <f>IF(A40&gt;'1. Sammanfattning'!$E$10,0,IF(A40='1. Sammanfattning'!$B$17,$H$63*(1+'1. Sammanfattning'!$E$11)^(A40-1),0))</f>
        <v>0</v>
      </c>
      <c r="I40" s="53"/>
      <c r="J40" s="52">
        <f t="shared" si="1"/>
        <v>0</v>
      </c>
      <c r="K40" s="54"/>
    </row>
    <row r="41" spans="1:11" ht="15" customHeight="1" x14ac:dyDescent="0.25">
      <c r="A41" s="34">
        <v>38</v>
      </c>
      <c r="B41" s="35">
        <v>2063</v>
      </c>
      <c r="C41" s="52">
        <f>IF(A41&gt;'1. Sammanfattning'!$E$10,0,IF(A41&lt;=30,$H$62/30,0))</f>
        <v>0</v>
      </c>
      <c r="D41" s="52">
        <f>IF(A41&gt;'1. Sammanfattning'!$E$10,0,IF(A41&lt;=30,$H$62*(1-(A41-1)/30)*'1. Sammanfattning'!$E$8,0))</f>
        <v>0</v>
      </c>
      <c r="E41" s="52">
        <f>IF(A41&gt;'1. Sammanfattning'!$E$10,0,'1. Sammanfattning'!$B$7*'1. Sammanfattning'!$B$14/1000000*(1+'1. Sammanfattning'!$E$11)^(A41-1))</f>
        <v>0</v>
      </c>
      <c r="F41" s="52">
        <f>IF(A41&gt;'1. Sammanfattning'!$E$10,0,'1. Sammanfattning'!$B$7*'1. Sammanfattning'!$B$15/1000000*(1+'1. Sammanfattning'!$E$11)^(A41-1))</f>
        <v>0</v>
      </c>
      <c r="G41" s="52">
        <f>IF(A41&gt;'1. Sammanfattning'!$E$10,0,-'1. Sammanfattning'!$B$18*(1+'1. Sammanfattning'!$E$11)^(A41-1))</f>
        <v>0</v>
      </c>
      <c r="H41" s="52">
        <f>IF(A41&gt;'1. Sammanfattning'!$E$10,0,IF(A41='1. Sammanfattning'!$B$17,$H$63*(1+'1. Sammanfattning'!$E$11)^(A41-1),0))</f>
        <v>0</v>
      </c>
      <c r="I41" s="53"/>
      <c r="J41" s="52">
        <f t="shared" si="1"/>
        <v>0</v>
      </c>
      <c r="K41" s="54"/>
    </row>
    <row r="42" spans="1:11" ht="15" customHeight="1" x14ac:dyDescent="0.25">
      <c r="A42" s="34">
        <v>39</v>
      </c>
      <c r="B42" s="35">
        <v>2064</v>
      </c>
      <c r="C42" s="52">
        <f>IF(A42&gt;'1. Sammanfattning'!$E$10,0,IF(A42&lt;=30,$H$62/30,0))</f>
        <v>0</v>
      </c>
      <c r="D42" s="52">
        <f>IF(A42&gt;'1. Sammanfattning'!$E$10,0,IF(A42&lt;=30,$H$62*(1-(A42-1)/30)*'1. Sammanfattning'!$E$8,0))</f>
        <v>0</v>
      </c>
      <c r="E42" s="52">
        <f>IF(A42&gt;'1. Sammanfattning'!$E$10,0,'1. Sammanfattning'!$B$7*'1. Sammanfattning'!$B$14/1000000*(1+'1. Sammanfattning'!$E$11)^(A42-1))</f>
        <v>0</v>
      </c>
      <c r="F42" s="52">
        <f>IF(A42&gt;'1. Sammanfattning'!$E$10,0,'1. Sammanfattning'!$B$7*'1. Sammanfattning'!$B$15/1000000*(1+'1. Sammanfattning'!$E$11)^(A42-1))</f>
        <v>0</v>
      </c>
      <c r="G42" s="52">
        <f>IF(A42&gt;'1. Sammanfattning'!$E$10,0,-'1. Sammanfattning'!$B$18*(1+'1. Sammanfattning'!$E$11)^(A42-1))</f>
        <v>0</v>
      </c>
      <c r="H42" s="52">
        <f>IF(A42&gt;'1. Sammanfattning'!$E$10,0,IF(A42='1. Sammanfattning'!$B$17,$H$63*(1+'1. Sammanfattning'!$E$11)^(A42-1),0))</f>
        <v>0</v>
      </c>
      <c r="I42" s="53"/>
      <c r="J42" s="52">
        <f t="shared" si="1"/>
        <v>0</v>
      </c>
      <c r="K42" s="54"/>
    </row>
    <row r="43" spans="1:11" ht="15" customHeight="1" x14ac:dyDescent="0.25">
      <c r="A43" s="34">
        <v>40</v>
      </c>
      <c r="B43" s="35">
        <v>2065</v>
      </c>
      <c r="C43" s="52">
        <f>IF(A43&gt;'1. Sammanfattning'!$E$10,0,IF(A43&lt;=30,$H$62/30,0))</f>
        <v>0</v>
      </c>
      <c r="D43" s="52">
        <f>IF(A43&gt;'1. Sammanfattning'!$E$10,0,IF(A43&lt;=30,$H$62*(1-(A43-1)/30)*'1. Sammanfattning'!$E$8,0))</f>
        <v>0</v>
      </c>
      <c r="E43" s="52">
        <f>IF(A43&gt;'1. Sammanfattning'!$E$10,0,'1. Sammanfattning'!$B$7*'1. Sammanfattning'!$B$14/1000000*(1+'1. Sammanfattning'!$E$11)^(A43-1))</f>
        <v>0</v>
      </c>
      <c r="F43" s="52">
        <f>IF(A43&gt;'1. Sammanfattning'!$E$10,0,'1. Sammanfattning'!$B$7*'1. Sammanfattning'!$B$15/1000000*(1+'1. Sammanfattning'!$E$11)^(A43-1))</f>
        <v>0</v>
      </c>
      <c r="G43" s="52">
        <f>IF(A43&gt;'1. Sammanfattning'!$E$10,0,-'1. Sammanfattning'!$B$18*(1+'1. Sammanfattning'!$E$11)^(A43-1))</f>
        <v>0</v>
      </c>
      <c r="H43" s="52">
        <f>IF(A43&gt;'1. Sammanfattning'!$E$10,0,IF(A43='1. Sammanfattning'!$B$17,$H$63*(1+'1. Sammanfattning'!$E$11)^(A43-1),0))</f>
        <v>0</v>
      </c>
      <c r="I43" s="53"/>
      <c r="J43" s="52">
        <f t="shared" si="1"/>
        <v>0</v>
      </c>
      <c r="K43" s="54"/>
    </row>
    <row r="44" spans="1:11" ht="15" customHeight="1" x14ac:dyDescent="0.25">
      <c r="A44" s="34">
        <v>41</v>
      </c>
      <c r="B44" s="35">
        <v>2066</v>
      </c>
      <c r="C44" s="52">
        <f>IF(A44&gt;'1. Sammanfattning'!$E$10,0,IF(A44&lt;=30,$H$62/30,0))</f>
        <v>0</v>
      </c>
      <c r="D44" s="52">
        <f>IF(A44&gt;'1. Sammanfattning'!$E$10,0,IF(A44&lt;=30,$H$62*(1-(A44-1)/30)*'1. Sammanfattning'!$E$8,0))</f>
        <v>0</v>
      </c>
      <c r="E44" s="52">
        <f>IF(A44&gt;'1. Sammanfattning'!$E$10,0,'1. Sammanfattning'!$B$7*'1. Sammanfattning'!$B$14/1000000*(1+'1. Sammanfattning'!$E$11)^(A44-1))</f>
        <v>0</v>
      </c>
      <c r="F44" s="52">
        <f>IF(A44&gt;'1. Sammanfattning'!$E$10,0,'1. Sammanfattning'!$B$7*'1. Sammanfattning'!$B$15/1000000*(1+'1. Sammanfattning'!$E$11)^(A44-1))</f>
        <v>0</v>
      </c>
      <c r="G44" s="52">
        <f>IF(A44&gt;'1. Sammanfattning'!$E$10,0,-'1. Sammanfattning'!$B$18*(1+'1. Sammanfattning'!$E$11)^(A44-1))</f>
        <v>0</v>
      </c>
      <c r="H44" s="52">
        <f>IF(A44&gt;'1. Sammanfattning'!$E$10,0,IF(A44='1. Sammanfattning'!$B$17,$H$63*(1+'1. Sammanfattning'!$E$11)^(A44-1),0))</f>
        <v>0</v>
      </c>
      <c r="I44" s="53"/>
      <c r="J44" s="52">
        <f t="shared" si="1"/>
        <v>0</v>
      </c>
      <c r="K44" s="54"/>
    </row>
    <row r="45" spans="1:11" ht="15" customHeight="1" x14ac:dyDescent="0.25">
      <c r="A45" s="34">
        <v>42</v>
      </c>
      <c r="B45" s="35">
        <v>2067</v>
      </c>
      <c r="C45" s="52">
        <f>IF(A45&gt;'1. Sammanfattning'!$E$10,0,IF(A45&lt;=30,$H$62/30,0))</f>
        <v>0</v>
      </c>
      <c r="D45" s="52">
        <f>IF(A45&gt;'1. Sammanfattning'!$E$10,0,IF(A45&lt;=30,$H$62*(1-(A45-1)/30)*'1. Sammanfattning'!$E$8,0))</f>
        <v>0</v>
      </c>
      <c r="E45" s="52">
        <f>IF(A45&gt;'1. Sammanfattning'!$E$10,0,'1. Sammanfattning'!$B$7*'1. Sammanfattning'!$B$14/1000000*(1+'1. Sammanfattning'!$E$11)^(A45-1))</f>
        <v>0</v>
      </c>
      <c r="F45" s="52">
        <f>IF(A45&gt;'1. Sammanfattning'!$E$10,0,'1. Sammanfattning'!$B$7*'1. Sammanfattning'!$B$15/1000000*(1+'1. Sammanfattning'!$E$11)^(A45-1))</f>
        <v>0</v>
      </c>
      <c r="G45" s="52">
        <f>IF(A45&gt;'1. Sammanfattning'!$E$10,0,-'1. Sammanfattning'!$B$18*(1+'1. Sammanfattning'!$E$11)^(A45-1))</f>
        <v>0</v>
      </c>
      <c r="H45" s="52">
        <f>IF(A45&gt;'1. Sammanfattning'!$E$10,0,IF(A45='1. Sammanfattning'!$B$17,$H$63*(1+'1. Sammanfattning'!$E$11)^(A45-1),0))</f>
        <v>0</v>
      </c>
      <c r="I45" s="53"/>
      <c r="J45" s="52">
        <f t="shared" si="1"/>
        <v>0</v>
      </c>
      <c r="K45" s="54"/>
    </row>
    <row r="46" spans="1:11" ht="15" customHeight="1" x14ac:dyDescent="0.25">
      <c r="A46" s="34">
        <v>43</v>
      </c>
      <c r="B46" s="35">
        <v>2068</v>
      </c>
      <c r="C46" s="52">
        <f>IF(A46&gt;'1. Sammanfattning'!$E$10,0,IF(A46&lt;=30,$H$62/30,0))</f>
        <v>0</v>
      </c>
      <c r="D46" s="52">
        <f>IF(A46&gt;'1. Sammanfattning'!$E$10,0,IF(A46&lt;=30,$H$62*(1-(A46-1)/30)*'1. Sammanfattning'!$E$8,0))</f>
        <v>0</v>
      </c>
      <c r="E46" s="52">
        <f>IF(A46&gt;'1. Sammanfattning'!$E$10,0,'1. Sammanfattning'!$B$7*'1. Sammanfattning'!$B$14/1000000*(1+'1. Sammanfattning'!$E$11)^(A46-1))</f>
        <v>0</v>
      </c>
      <c r="F46" s="52">
        <f>IF(A46&gt;'1. Sammanfattning'!$E$10,0,'1. Sammanfattning'!$B$7*'1. Sammanfattning'!$B$15/1000000*(1+'1. Sammanfattning'!$E$11)^(A46-1))</f>
        <v>0</v>
      </c>
      <c r="G46" s="52">
        <f>IF(A46&gt;'1. Sammanfattning'!$E$10,0,-'1. Sammanfattning'!$B$18*(1+'1. Sammanfattning'!$E$11)^(A46-1))</f>
        <v>0</v>
      </c>
      <c r="H46" s="52">
        <f>IF(A46&gt;'1. Sammanfattning'!$E$10,0,IF(A46='1. Sammanfattning'!$B$17,$H$63*(1+'1. Sammanfattning'!$E$11)^(A46-1),0))</f>
        <v>0</v>
      </c>
      <c r="I46" s="53"/>
      <c r="J46" s="52">
        <f t="shared" si="1"/>
        <v>0</v>
      </c>
      <c r="K46" s="54"/>
    </row>
    <row r="47" spans="1:11" ht="15" customHeight="1" x14ac:dyDescent="0.25">
      <c r="A47" s="34">
        <v>44</v>
      </c>
      <c r="B47" s="35">
        <v>2069</v>
      </c>
      <c r="C47" s="52">
        <f>IF(A47&gt;'1. Sammanfattning'!$E$10,0,IF(A47&lt;=30,$H$62/30,0))</f>
        <v>0</v>
      </c>
      <c r="D47" s="52">
        <f>IF(A47&gt;'1. Sammanfattning'!$E$10,0,IF(A47&lt;=30,$H$62*(1-(A47-1)/30)*'1. Sammanfattning'!$E$8,0))</f>
        <v>0</v>
      </c>
      <c r="E47" s="52">
        <f>IF(A47&gt;'1. Sammanfattning'!$E$10,0,'1. Sammanfattning'!$B$7*'1. Sammanfattning'!$B$14/1000000*(1+'1. Sammanfattning'!$E$11)^(A47-1))</f>
        <v>0</v>
      </c>
      <c r="F47" s="52">
        <f>IF(A47&gt;'1. Sammanfattning'!$E$10,0,'1. Sammanfattning'!$B$7*'1. Sammanfattning'!$B$15/1000000*(1+'1. Sammanfattning'!$E$11)^(A47-1))</f>
        <v>0</v>
      </c>
      <c r="G47" s="52">
        <f>IF(A47&gt;'1. Sammanfattning'!$E$10,0,-'1. Sammanfattning'!$B$18*(1+'1. Sammanfattning'!$E$11)^(A47-1))</f>
        <v>0</v>
      </c>
      <c r="H47" s="52">
        <f>IF(A47&gt;'1. Sammanfattning'!$E$10,0,IF(A47='1. Sammanfattning'!$B$17,$H$63*(1+'1. Sammanfattning'!$E$11)^(A47-1),0))</f>
        <v>0</v>
      </c>
      <c r="I47" s="53"/>
      <c r="J47" s="52">
        <f t="shared" si="1"/>
        <v>0</v>
      </c>
      <c r="K47" s="54"/>
    </row>
    <row r="48" spans="1:11" ht="15" customHeight="1" x14ac:dyDescent="0.25">
      <c r="A48" s="34">
        <v>45</v>
      </c>
      <c r="B48" s="35">
        <v>2070</v>
      </c>
      <c r="C48" s="52">
        <f>IF(A48&gt;'1. Sammanfattning'!$E$10,0,IF(A48&lt;=30,$H$62/30,0))</f>
        <v>0</v>
      </c>
      <c r="D48" s="52">
        <f>IF(A48&gt;'1. Sammanfattning'!$E$10,0,IF(A48&lt;=30,$H$62*(1-(A48-1)/30)*'1. Sammanfattning'!$E$8,0))</f>
        <v>0</v>
      </c>
      <c r="E48" s="52">
        <f>IF(A48&gt;'1. Sammanfattning'!$E$10,0,'1. Sammanfattning'!$B$7*'1. Sammanfattning'!$B$14/1000000*(1+'1. Sammanfattning'!$E$11)^(A48-1))</f>
        <v>0</v>
      </c>
      <c r="F48" s="52">
        <f>IF(A48&gt;'1. Sammanfattning'!$E$10,0,'1. Sammanfattning'!$B$7*'1. Sammanfattning'!$B$15/1000000*(1+'1. Sammanfattning'!$E$11)^(A48-1))</f>
        <v>0</v>
      </c>
      <c r="G48" s="52">
        <f>IF(A48&gt;'1. Sammanfattning'!$E$10,0,-'1. Sammanfattning'!$B$18*(1+'1. Sammanfattning'!$E$11)^(A48-1))</f>
        <v>0</v>
      </c>
      <c r="H48" s="52">
        <f>IF(A48&gt;'1. Sammanfattning'!$E$10,0,IF(A48='1. Sammanfattning'!$B$17,$H$63*(1+'1. Sammanfattning'!$E$11)^(A48-1),0))</f>
        <v>0</v>
      </c>
      <c r="I48" s="53"/>
      <c r="J48" s="52">
        <f t="shared" si="1"/>
        <v>0</v>
      </c>
      <c r="K48" s="54"/>
    </row>
    <row r="49" spans="1:11" ht="15" customHeight="1" x14ac:dyDescent="0.25">
      <c r="A49" s="34">
        <v>46</v>
      </c>
      <c r="B49" s="35">
        <v>2071</v>
      </c>
      <c r="C49" s="52">
        <f>IF(A49&gt;'1. Sammanfattning'!$E$10,0,IF(A49&lt;=30,$H$62/30,0))</f>
        <v>0</v>
      </c>
      <c r="D49" s="52">
        <f>IF(A49&gt;'1. Sammanfattning'!$E$10,0,IF(A49&lt;=30,$H$62*(1-(A49-1)/30)*'1. Sammanfattning'!$E$8,0))</f>
        <v>0</v>
      </c>
      <c r="E49" s="52">
        <f>IF(A49&gt;'1. Sammanfattning'!$E$10,0,'1. Sammanfattning'!$B$7*'1. Sammanfattning'!$B$14/1000000*(1+'1. Sammanfattning'!$E$11)^(A49-1))</f>
        <v>0</v>
      </c>
      <c r="F49" s="52">
        <f>IF(A49&gt;'1. Sammanfattning'!$E$10,0,'1. Sammanfattning'!$B$7*'1. Sammanfattning'!$B$15/1000000*(1+'1. Sammanfattning'!$E$11)^(A49-1))</f>
        <v>0</v>
      </c>
      <c r="G49" s="52">
        <f>IF(A49&gt;'1. Sammanfattning'!$E$10,0,-'1. Sammanfattning'!$B$18*(1+'1. Sammanfattning'!$E$11)^(A49-1))</f>
        <v>0</v>
      </c>
      <c r="H49" s="52">
        <f>IF(A49&gt;'1. Sammanfattning'!$E$10,0,IF(A49='1. Sammanfattning'!$B$17,$H$63*(1+'1. Sammanfattning'!$E$11)^(A49-1),0))</f>
        <v>0</v>
      </c>
      <c r="I49" s="53"/>
      <c r="J49" s="52">
        <f t="shared" si="1"/>
        <v>0</v>
      </c>
      <c r="K49" s="54"/>
    </row>
    <row r="50" spans="1:11" ht="15" customHeight="1" x14ac:dyDescent="0.25">
      <c r="A50" s="34">
        <v>47</v>
      </c>
      <c r="B50" s="35">
        <v>2072</v>
      </c>
      <c r="C50" s="52">
        <f>IF(A50&gt;'1. Sammanfattning'!$E$10,0,IF(A50&lt;=30,$H$62/30,0))</f>
        <v>0</v>
      </c>
      <c r="D50" s="52">
        <f>IF(A50&gt;'1. Sammanfattning'!$E$10,0,IF(A50&lt;=30,$H$62*(1-(A50-1)/30)*'1. Sammanfattning'!$E$8,0))</f>
        <v>0</v>
      </c>
      <c r="E50" s="52">
        <f>IF(A50&gt;'1. Sammanfattning'!$E$10,0,'1. Sammanfattning'!$B$7*'1. Sammanfattning'!$B$14/1000000*(1+'1. Sammanfattning'!$E$11)^(A50-1))</f>
        <v>0</v>
      </c>
      <c r="F50" s="52">
        <f>IF(A50&gt;'1. Sammanfattning'!$E$10,0,'1. Sammanfattning'!$B$7*'1. Sammanfattning'!$B$15/1000000*(1+'1. Sammanfattning'!$E$11)^(A50-1))</f>
        <v>0</v>
      </c>
      <c r="G50" s="52">
        <f>IF(A50&gt;'1. Sammanfattning'!$E$10,0,-'1. Sammanfattning'!$B$18*(1+'1. Sammanfattning'!$E$11)^(A50-1))</f>
        <v>0</v>
      </c>
      <c r="H50" s="52">
        <f>IF(A50&gt;'1. Sammanfattning'!$E$10,0,IF(A50='1. Sammanfattning'!$B$17,$H$63*(1+'1. Sammanfattning'!$E$11)^(A50-1),0))</f>
        <v>0</v>
      </c>
      <c r="I50" s="53"/>
      <c r="J50" s="52">
        <f t="shared" si="1"/>
        <v>0</v>
      </c>
      <c r="K50" s="54"/>
    </row>
    <row r="51" spans="1:11" ht="15" customHeight="1" x14ac:dyDescent="0.25">
      <c r="A51" s="34">
        <v>48</v>
      </c>
      <c r="B51" s="35">
        <v>2073</v>
      </c>
      <c r="C51" s="52">
        <f>IF(A51&gt;'1. Sammanfattning'!$E$10,0,IF(A51&lt;=30,$H$62/30,0))</f>
        <v>0</v>
      </c>
      <c r="D51" s="52">
        <f>IF(A51&gt;'1. Sammanfattning'!$E$10,0,IF(A51&lt;=30,$H$62*(1-(A51-1)/30)*'1. Sammanfattning'!$E$8,0))</f>
        <v>0</v>
      </c>
      <c r="E51" s="52">
        <f>IF(A51&gt;'1. Sammanfattning'!$E$10,0,'1. Sammanfattning'!$B$7*'1. Sammanfattning'!$B$14/1000000*(1+'1. Sammanfattning'!$E$11)^(A51-1))</f>
        <v>0</v>
      </c>
      <c r="F51" s="52">
        <f>IF(A51&gt;'1. Sammanfattning'!$E$10,0,'1. Sammanfattning'!$B$7*'1. Sammanfattning'!$B$15/1000000*(1+'1. Sammanfattning'!$E$11)^(A51-1))</f>
        <v>0</v>
      </c>
      <c r="G51" s="52">
        <f>IF(A51&gt;'1. Sammanfattning'!$E$10,0,-'1. Sammanfattning'!$B$18*(1+'1. Sammanfattning'!$E$11)^(A51-1))</f>
        <v>0</v>
      </c>
      <c r="H51" s="52">
        <f>IF(A51&gt;'1. Sammanfattning'!$E$10,0,IF(A51='1. Sammanfattning'!$B$17,$H$63*(1+'1. Sammanfattning'!$E$11)^(A51-1),0))</f>
        <v>0</v>
      </c>
      <c r="I51" s="53"/>
      <c r="J51" s="52">
        <f t="shared" si="1"/>
        <v>0</v>
      </c>
      <c r="K51" s="54"/>
    </row>
    <row r="52" spans="1:11" ht="15" customHeight="1" x14ac:dyDescent="0.25">
      <c r="A52" s="34">
        <v>49</v>
      </c>
      <c r="B52" s="35">
        <v>2074</v>
      </c>
      <c r="C52" s="52">
        <f>IF(A52&gt;'1. Sammanfattning'!$E$10,0,IF(A52&lt;=30,$H$62/30,0))</f>
        <v>0</v>
      </c>
      <c r="D52" s="52">
        <f>IF(A52&gt;'1. Sammanfattning'!$E$10,0,IF(A52&lt;=30,$H$62*(1-(A52-1)/30)*'1. Sammanfattning'!$E$8,0))</f>
        <v>0</v>
      </c>
      <c r="E52" s="52">
        <f>IF(A52&gt;'1. Sammanfattning'!$E$10,0,'1. Sammanfattning'!$B$7*'1. Sammanfattning'!$B$14/1000000*(1+'1. Sammanfattning'!$E$11)^(A52-1))</f>
        <v>0</v>
      </c>
      <c r="F52" s="52">
        <f>IF(A52&gt;'1. Sammanfattning'!$E$10,0,'1. Sammanfattning'!$B$7*'1. Sammanfattning'!$B$15/1000000*(1+'1. Sammanfattning'!$E$11)^(A52-1))</f>
        <v>0</v>
      </c>
      <c r="G52" s="52">
        <f>IF(A52&gt;'1. Sammanfattning'!$E$10,0,-'1. Sammanfattning'!$B$18*(1+'1. Sammanfattning'!$E$11)^(A52-1))</f>
        <v>0</v>
      </c>
      <c r="H52" s="52">
        <f>IF(A52&gt;'1. Sammanfattning'!$E$10,0,IF(A52='1. Sammanfattning'!$B$17,$H$63*(1+'1. Sammanfattning'!$E$11)^(A52-1),0))</f>
        <v>0</v>
      </c>
      <c r="I52" s="53"/>
      <c r="J52" s="52">
        <f t="shared" si="1"/>
        <v>0</v>
      </c>
      <c r="K52" s="54"/>
    </row>
    <row r="53" spans="1:11" ht="15" customHeight="1" x14ac:dyDescent="0.25">
      <c r="A53" s="34">
        <v>50</v>
      </c>
      <c r="B53" s="35">
        <v>2075</v>
      </c>
      <c r="C53" s="52">
        <f>IF(A53&gt;'1. Sammanfattning'!$E$10,0,IF(A53&lt;=30,$H$62/30,0))</f>
        <v>0</v>
      </c>
      <c r="D53" s="52">
        <f>IF(A53&gt;'1. Sammanfattning'!$E$10,0,IF(A53&lt;=30,$H$62*(1-(A53-1)/30)*'1. Sammanfattning'!$E$8,0))</f>
        <v>0</v>
      </c>
      <c r="E53" s="52">
        <f>IF(A53&gt;'1. Sammanfattning'!$E$10,0,'1. Sammanfattning'!$B$7*'1. Sammanfattning'!$B$14/1000000*(1+'1. Sammanfattning'!$E$11)^(A53-1))</f>
        <v>0</v>
      </c>
      <c r="F53" s="52">
        <f>IF(A53&gt;'1. Sammanfattning'!$E$10,0,'1. Sammanfattning'!$B$7*'1. Sammanfattning'!$B$15/1000000*(1+'1. Sammanfattning'!$E$11)^(A53-1))</f>
        <v>0</v>
      </c>
      <c r="G53" s="52">
        <f>IF(A53&gt;'1. Sammanfattning'!$E$10,0,-'1. Sammanfattning'!$B$18*(1+'1. Sammanfattning'!$E$11)^(A53-1))</f>
        <v>0</v>
      </c>
      <c r="H53" s="52">
        <f>IF(A53&gt;'1. Sammanfattning'!$E$10,0,IF(A53='1. Sammanfattning'!$B$17,$H$63*(1+'1. Sammanfattning'!$E$11)^(A53-1),0))</f>
        <v>0</v>
      </c>
      <c r="I53" s="53"/>
      <c r="J53" s="52">
        <f t="shared" si="1"/>
        <v>0</v>
      </c>
      <c r="K53" s="54"/>
    </row>
    <row r="54" spans="1:11" ht="15" customHeight="1" x14ac:dyDescent="0.25">
      <c r="A54" s="122" t="s">
        <v>149</v>
      </c>
      <c r="B54" s="123"/>
      <c r="C54" s="55">
        <f t="shared" ref="C54:H54" si="2">SUM(C4:C53)</f>
        <v>300.14999999999992</v>
      </c>
      <c r="D54" s="55">
        <f t="shared" si="2"/>
        <v>139.56975</v>
      </c>
      <c r="E54" s="55">
        <f t="shared" si="2"/>
        <v>192.69837622454651</v>
      </c>
      <c r="F54" s="55">
        <f t="shared" si="2"/>
        <v>50.710099006459608</v>
      </c>
      <c r="G54" s="55">
        <f t="shared" si="2"/>
        <v>0</v>
      </c>
      <c r="H54" s="55">
        <f t="shared" si="2"/>
        <v>0</v>
      </c>
      <c r="I54" s="56"/>
      <c r="J54" s="55">
        <f>SUM(J4:J53)</f>
        <v>683.12822523100613</v>
      </c>
    </row>
    <row r="56" spans="1:11" ht="15" customHeight="1" x14ac:dyDescent="0.25">
      <c r="A56" s="122" t="s">
        <v>150</v>
      </c>
      <c r="B56" s="123"/>
      <c r="C56" s="36"/>
      <c r="D56" s="36"/>
      <c r="E56" s="36"/>
      <c r="F56" s="36"/>
      <c r="G56" s="36"/>
      <c r="H56" s="36"/>
      <c r="I56" s="36"/>
      <c r="J56" s="57">
        <f>SUMPRODUCT(J4:J53/(1+'1. Sammanfattning'!$E$9)^(A4:A53-1))</f>
        <v>465.96768058396185</v>
      </c>
    </row>
    <row r="60" spans="1:11" ht="15" customHeight="1" x14ac:dyDescent="0.25">
      <c r="A60" s="126" t="s">
        <v>151</v>
      </c>
      <c r="B60" s="127"/>
      <c r="C60" s="127"/>
      <c r="D60" s="127"/>
      <c r="E60" s="127"/>
      <c r="F60" s="127"/>
      <c r="G60" s="127"/>
      <c r="H60" s="127"/>
      <c r="I60" s="127"/>
      <c r="J60" s="127"/>
    </row>
    <row r="62" spans="1:11" ht="15" customHeight="1" x14ac:dyDescent="0.25">
      <c r="A62" s="124" t="s">
        <v>152</v>
      </c>
      <c r="B62" s="123"/>
      <c r="C62" s="123"/>
      <c r="D62" s="123"/>
      <c r="E62" s="123"/>
      <c r="F62" s="123"/>
      <c r="G62" s="123"/>
      <c r="H62" s="58">
        <f>'1. Sammanfattning'!B7 * '1. Sammanfattning'!B8 / 1000 * (1+'1. Sammanfattning'!B9) * (1+'1. Sammanfattning'!B10)</f>
        <v>300.14999999999998</v>
      </c>
    </row>
    <row r="63" spans="1:11" ht="15" customHeight="1" x14ac:dyDescent="0.25">
      <c r="A63" s="124" t="s">
        <v>153</v>
      </c>
      <c r="B63" s="123"/>
      <c r="C63" s="123"/>
      <c r="D63" s="123"/>
      <c r="E63" s="123"/>
      <c r="F63" s="123"/>
      <c r="G63" s="123"/>
      <c r="H63" s="58">
        <f>H62 * '1. Sammanfattning'!B16</f>
        <v>0</v>
      </c>
    </row>
    <row r="64" spans="1:11" ht="15" customHeight="1" x14ac:dyDescent="0.25"/>
  </sheetData>
  <mergeCells count="7">
    <mergeCell ref="A63:G63"/>
    <mergeCell ref="A60:J60"/>
    <mergeCell ref="A1:J1"/>
    <mergeCell ref="A54:B54"/>
    <mergeCell ref="A62:G62"/>
    <mergeCell ref="A2:J2"/>
    <mergeCell ref="A56:B56"/>
  </mergeCells>
  <printOptions horizontalCentered="1"/>
  <pageMargins left="0.4" right="0.4" top="0.4" bottom="0.4" header="0.511811023622047" footer="0.511811023622047"/>
  <pageSetup paperSize="9" scale="56"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6"/>
  <sheetViews>
    <sheetView showGridLines="0" zoomScaleNormal="100" workbookViewId="0">
      <selection sqref="A1:D1"/>
    </sheetView>
  </sheetViews>
  <sheetFormatPr defaultColWidth="8.7109375" defaultRowHeight="15" x14ac:dyDescent="0.25"/>
  <cols>
    <col min="1" max="1" width="20.7109375" style="88" customWidth="1"/>
    <col min="2" max="2" width="21.28515625" style="88" customWidth="1"/>
    <col min="3" max="3" width="25" style="88" customWidth="1"/>
    <col min="4" max="4" width="24.5703125" style="85" customWidth="1"/>
  </cols>
  <sheetData>
    <row r="1" spans="1:4" ht="31.5" customHeight="1" x14ac:dyDescent="0.25">
      <c r="A1" s="128" t="s">
        <v>154</v>
      </c>
      <c r="B1" s="110"/>
      <c r="C1" s="110"/>
      <c r="D1" s="110"/>
    </row>
    <row r="2" spans="1:4" ht="24" customHeight="1" x14ac:dyDescent="0.25">
      <c r="A2" s="125" t="s">
        <v>155</v>
      </c>
      <c r="B2" s="123"/>
      <c r="C2" s="123"/>
      <c r="D2" s="93"/>
    </row>
    <row r="3" spans="1:4" ht="46.5" customHeight="1" x14ac:dyDescent="0.25">
      <c r="A3" s="33" t="s">
        <v>46</v>
      </c>
      <c r="B3" s="33" t="s">
        <v>143</v>
      </c>
      <c r="C3" s="33" t="s">
        <v>156</v>
      </c>
      <c r="D3" s="45" t="s">
        <v>157</v>
      </c>
    </row>
    <row r="4" spans="1:4" ht="15" customHeight="1" x14ac:dyDescent="0.25">
      <c r="A4" s="34">
        <v>1</v>
      </c>
      <c r="B4" s="35">
        <v>2026</v>
      </c>
      <c r="C4" s="52">
        <f>IF(A4&gt;'1. Sammanfattning'!$E$10,0,IF(A4&lt;=30,'1. Sammanfattning'!$E$14*(1+'1. Sammanfattning'!$E$11)^(A4-1),'1. Sammanfattning'!$E$14*(1+'1. Sammanfattning'!$E$11)^29*'1. Sammanfattning'!$E$15*(1+'1. Sammanfattning'!$E$11)^(A4-31)))</f>
        <v>0</v>
      </c>
      <c r="D4" s="72">
        <f>IF(A4&gt;'1. Sammanfattning'!$E$10,0,IF(A4&lt;=30,(1+'1. Sammanfattning'!$E$11)^(A4-1),(1+'1. Sammanfattning'!$E$11)^29*'1. Sammanfattning'!$E$15*(1+'1. Sammanfattning'!$E$11)^(A4-31)))</f>
        <v>1</v>
      </c>
    </row>
    <row r="5" spans="1:4" ht="15" customHeight="1" x14ac:dyDescent="0.25">
      <c r="A5" s="34">
        <v>2</v>
      </c>
      <c r="B5" s="35">
        <v>2027</v>
      </c>
      <c r="C5" s="52">
        <f>IF(A5&gt;'1. Sammanfattning'!$E$10,0,IF(A5&lt;=30,'1. Sammanfattning'!$E$14*(1+'1. Sammanfattning'!$E$11)^(A5-1),'1. Sammanfattning'!$E$14*(1+'1. Sammanfattning'!$E$11)^29*'1. Sammanfattning'!$E$15*(1+'1. Sammanfattning'!$E$11)^(A5-31)))</f>
        <v>0</v>
      </c>
      <c r="D5" s="72">
        <f>IF(A5&gt;'1. Sammanfattning'!$E$10,0,IF(A5&lt;=30,(1+'1. Sammanfattning'!$E$11)^(A5-1),(1+'1. Sammanfattning'!$E$11)^29*'1. Sammanfattning'!$E$15*(1+'1. Sammanfattning'!$E$11)^(A5-31)))</f>
        <v>1.02</v>
      </c>
    </row>
    <row r="6" spans="1:4" ht="15" customHeight="1" x14ac:dyDescent="0.25">
      <c r="A6" s="34">
        <v>3</v>
      </c>
      <c r="B6" s="35">
        <v>2028</v>
      </c>
      <c r="C6" s="52">
        <f>IF(A6&gt;'1. Sammanfattning'!$E$10,0,IF(A6&lt;=30,'1. Sammanfattning'!$E$14*(1+'1. Sammanfattning'!$E$11)^(A6-1),'1. Sammanfattning'!$E$14*(1+'1. Sammanfattning'!$E$11)^29*'1. Sammanfattning'!$E$15*(1+'1. Sammanfattning'!$E$11)^(A6-31)))</f>
        <v>0</v>
      </c>
      <c r="D6" s="72">
        <f>IF(A6&gt;'1. Sammanfattning'!$E$10,0,IF(A6&lt;=30,(1+'1. Sammanfattning'!$E$11)^(A6-1),(1+'1. Sammanfattning'!$E$11)^29*'1. Sammanfattning'!$E$15*(1+'1. Sammanfattning'!$E$11)^(A6-31)))</f>
        <v>1.0404</v>
      </c>
    </row>
    <row r="7" spans="1:4" ht="15" customHeight="1" x14ac:dyDescent="0.25">
      <c r="A7" s="34">
        <v>4</v>
      </c>
      <c r="B7" s="35">
        <v>2029</v>
      </c>
      <c r="C7" s="52">
        <f>IF(A7&gt;'1. Sammanfattning'!$E$10,0,IF(A7&lt;=30,'1. Sammanfattning'!$E$14*(1+'1. Sammanfattning'!$E$11)^(A7-1),'1. Sammanfattning'!$E$14*(1+'1. Sammanfattning'!$E$11)^29*'1. Sammanfattning'!$E$15*(1+'1. Sammanfattning'!$E$11)^(A7-31)))</f>
        <v>0</v>
      </c>
      <c r="D7" s="72">
        <f>IF(A7&gt;'1. Sammanfattning'!$E$10,0,IF(A7&lt;=30,(1+'1. Sammanfattning'!$E$11)^(A7-1),(1+'1. Sammanfattning'!$E$11)^29*'1. Sammanfattning'!$E$15*(1+'1. Sammanfattning'!$E$11)^(A7-31)))</f>
        <v>1.0612079999999999</v>
      </c>
    </row>
    <row r="8" spans="1:4" ht="15" customHeight="1" x14ac:dyDescent="0.25">
      <c r="A8" s="34">
        <v>5</v>
      </c>
      <c r="B8" s="35">
        <v>2030</v>
      </c>
      <c r="C8" s="52">
        <f>IF(A8&gt;'1. Sammanfattning'!$E$10,0,IF(A8&lt;=30,'1. Sammanfattning'!$E$14*(1+'1. Sammanfattning'!$E$11)^(A8-1),'1. Sammanfattning'!$E$14*(1+'1. Sammanfattning'!$E$11)^29*'1. Sammanfattning'!$E$15*(1+'1. Sammanfattning'!$E$11)^(A8-31)))</f>
        <v>0</v>
      </c>
      <c r="D8" s="72">
        <f>IF(A8&gt;'1. Sammanfattning'!$E$10,0,IF(A8&lt;=30,(1+'1. Sammanfattning'!$E$11)^(A8-1),(1+'1. Sammanfattning'!$E$11)^29*'1. Sammanfattning'!$E$15*(1+'1. Sammanfattning'!$E$11)^(A8-31)))</f>
        <v>1.08243216</v>
      </c>
    </row>
    <row r="9" spans="1:4" ht="15" customHeight="1" x14ac:dyDescent="0.25">
      <c r="A9" s="34">
        <v>6</v>
      </c>
      <c r="B9" s="35">
        <v>2031</v>
      </c>
      <c r="C9" s="52">
        <f>IF(A9&gt;'1. Sammanfattning'!$E$10,0,IF(A9&lt;=30,'1. Sammanfattning'!$E$14*(1+'1. Sammanfattning'!$E$11)^(A9-1),'1. Sammanfattning'!$E$14*(1+'1. Sammanfattning'!$E$11)^29*'1. Sammanfattning'!$E$15*(1+'1. Sammanfattning'!$E$11)^(A9-31)))</f>
        <v>0</v>
      </c>
      <c r="D9" s="72">
        <f>IF(A9&gt;'1. Sammanfattning'!$E$10,0,IF(A9&lt;=30,(1+'1. Sammanfattning'!$E$11)^(A9-1),(1+'1. Sammanfattning'!$E$11)^29*'1. Sammanfattning'!$E$15*(1+'1. Sammanfattning'!$E$11)^(A9-31)))</f>
        <v>1.1040808032</v>
      </c>
    </row>
    <row r="10" spans="1:4" ht="15" customHeight="1" x14ac:dyDescent="0.25">
      <c r="A10" s="34">
        <v>7</v>
      </c>
      <c r="B10" s="35">
        <v>2032</v>
      </c>
      <c r="C10" s="52">
        <f>IF(A10&gt;'1. Sammanfattning'!$E$10,0,IF(A10&lt;=30,'1. Sammanfattning'!$E$14*(1+'1. Sammanfattning'!$E$11)^(A10-1),'1. Sammanfattning'!$E$14*(1+'1. Sammanfattning'!$E$11)^29*'1. Sammanfattning'!$E$15*(1+'1. Sammanfattning'!$E$11)^(A10-31)))</f>
        <v>0</v>
      </c>
      <c r="D10" s="72">
        <f>IF(A10&gt;'1. Sammanfattning'!$E$10,0,IF(A10&lt;=30,(1+'1. Sammanfattning'!$E$11)^(A10-1),(1+'1. Sammanfattning'!$E$11)^29*'1. Sammanfattning'!$E$15*(1+'1. Sammanfattning'!$E$11)^(A10-31)))</f>
        <v>1.1261624192640001</v>
      </c>
    </row>
    <row r="11" spans="1:4" ht="15" customHeight="1" x14ac:dyDescent="0.25">
      <c r="A11" s="34">
        <v>8</v>
      </c>
      <c r="B11" s="35">
        <v>2033</v>
      </c>
      <c r="C11" s="52">
        <f>IF(A11&gt;'1. Sammanfattning'!$E$10,0,IF(A11&lt;=30,'1. Sammanfattning'!$E$14*(1+'1. Sammanfattning'!$E$11)^(A11-1),'1. Sammanfattning'!$E$14*(1+'1. Sammanfattning'!$E$11)^29*'1. Sammanfattning'!$E$15*(1+'1. Sammanfattning'!$E$11)^(A11-31)))</f>
        <v>0</v>
      </c>
      <c r="D11" s="72">
        <f>IF(A11&gt;'1. Sammanfattning'!$E$10,0,IF(A11&lt;=30,(1+'1. Sammanfattning'!$E$11)^(A11-1),(1+'1. Sammanfattning'!$E$11)^29*'1. Sammanfattning'!$E$15*(1+'1. Sammanfattning'!$E$11)^(A11-31)))</f>
        <v>1.1486856676492798</v>
      </c>
    </row>
    <row r="12" spans="1:4" ht="15" customHeight="1" x14ac:dyDescent="0.25">
      <c r="A12" s="34">
        <v>9</v>
      </c>
      <c r="B12" s="35">
        <v>2034</v>
      </c>
      <c r="C12" s="52">
        <f>IF(A12&gt;'1. Sammanfattning'!$E$10,0,IF(A12&lt;=30,'1. Sammanfattning'!$E$14*(1+'1. Sammanfattning'!$E$11)^(A12-1),'1. Sammanfattning'!$E$14*(1+'1. Sammanfattning'!$E$11)^29*'1. Sammanfattning'!$E$15*(1+'1. Sammanfattning'!$E$11)^(A12-31)))</f>
        <v>0</v>
      </c>
      <c r="D12" s="72">
        <f>IF(A12&gt;'1. Sammanfattning'!$E$10,0,IF(A12&lt;=30,(1+'1. Sammanfattning'!$E$11)^(A12-1),(1+'1. Sammanfattning'!$E$11)^29*'1. Sammanfattning'!$E$15*(1+'1. Sammanfattning'!$E$11)^(A12-31)))</f>
        <v>1.1716593810022655</v>
      </c>
    </row>
    <row r="13" spans="1:4" ht="15" customHeight="1" x14ac:dyDescent="0.25">
      <c r="A13" s="34">
        <v>10</v>
      </c>
      <c r="B13" s="35">
        <v>2035</v>
      </c>
      <c r="C13" s="52">
        <f>IF(A13&gt;'1. Sammanfattning'!$E$10,0,IF(A13&lt;=30,'1. Sammanfattning'!$E$14*(1+'1. Sammanfattning'!$E$11)^(A13-1),'1. Sammanfattning'!$E$14*(1+'1. Sammanfattning'!$E$11)^29*'1. Sammanfattning'!$E$15*(1+'1. Sammanfattning'!$E$11)^(A13-31)))</f>
        <v>0</v>
      </c>
      <c r="D13" s="72">
        <f>IF(A13&gt;'1. Sammanfattning'!$E$10,0,IF(A13&lt;=30,(1+'1. Sammanfattning'!$E$11)^(A13-1),(1+'1. Sammanfattning'!$E$11)^29*'1. Sammanfattning'!$E$15*(1+'1. Sammanfattning'!$E$11)^(A13-31)))</f>
        <v>1.1950925686223108</v>
      </c>
    </row>
    <row r="14" spans="1:4" ht="15" customHeight="1" x14ac:dyDescent="0.25">
      <c r="A14" s="34">
        <v>11</v>
      </c>
      <c r="B14" s="35">
        <v>2036</v>
      </c>
      <c r="C14" s="52">
        <f>IF(A14&gt;'1. Sammanfattning'!$E$10,0,IF(A14&lt;=30,'1. Sammanfattning'!$E$14*(1+'1. Sammanfattning'!$E$11)^(A14-1),'1. Sammanfattning'!$E$14*(1+'1. Sammanfattning'!$E$11)^29*'1. Sammanfattning'!$E$15*(1+'1. Sammanfattning'!$E$11)^(A14-31)))</f>
        <v>0</v>
      </c>
      <c r="D14" s="72">
        <f>IF(A14&gt;'1. Sammanfattning'!$E$10,0,IF(A14&lt;=30,(1+'1. Sammanfattning'!$E$11)^(A14-1),(1+'1. Sammanfattning'!$E$11)^29*'1. Sammanfattning'!$E$15*(1+'1. Sammanfattning'!$E$11)^(A14-31)))</f>
        <v>1.2189944199947571</v>
      </c>
    </row>
    <row r="15" spans="1:4" ht="15" customHeight="1" x14ac:dyDescent="0.25">
      <c r="A15" s="34">
        <v>12</v>
      </c>
      <c r="B15" s="35">
        <v>2037</v>
      </c>
      <c r="C15" s="52">
        <f>IF(A15&gt;'1. Sammanfattning'!$E$10,0,IF(A15&lt;=30,'1. Sammanfattning'!$E$14*(1+'1. Sammanfattning'!$E$11)^(A15-1),'1. Sammanfattning'!$E$14*(1+'1. Sammanfattning'!$E$11)^29*'1. Sammanfattning'!$E$15*(1+'1. Sammanfattning'!$E$11)^(A15-31)))</f>
        <v>0</v>
      </c>
      <c r="D15" s="72">
        <f>IF(A15&gt;'1. Sammanfattning'!$E$10,0,IF(A15&lt;=30,(1+'1. Sammanfattning'!$E$11)^(A15-1),(1+'1. Sammanfattning'!$E$11)^29*'1. Sammanfattning'!$E$15*(1+'1. Sammanfattning'!$E$11)^(A15-31)))</f>
        <v>1.243374308394652</v>
      </c>
    </row>
    <row r="16" spans="1:4" ht="15" customHeight="1" x14ac:dyDescent="0.25">
      <c r="A16" s="34">
        <v>13</v>
      </c>
      <c r="B16" s="35">
        <v>2038</v>
      </c>
      <c r="C16" s="52">
        <f>IF(A16&gt;'1. Sammanfattning'!$E$10,0,IF(A16&lt;=30,'1. Sammanfattning'!$E$14*(1+'1. Sammanfattning'!$E$11)^(A16-1),'1. Sammanfattning'!$E$14*(1+'1. Sammanfattning'!$E$11)^29*'1. Sammanfattning'!$E$15*(1+'1. Sammanfattning'!$E$11)^(A16-31)))</f>
        <v>0</v>
      </c>
      <c r="D16" s="72">
        <f>IF(A16&gt;'1. Sammanfattning'!$E$10,0,IF(A16&lt;=30,(1+'1. Sammanfattning'!$E$11)^(A16-1),(1+'1. Sammanfattning'!$E$11)^29*'1. Sammanfattning'!$E$15*(1+'1. Sammanfattning'!$E$11)^(A16-31)))</f>
        <v>1.2682417945625453</v>
      </c>
    </row>
    <row r="17" spans="1:4" ht="15" customHeight="1" x14ac:dyDescent="0.25">
      <c r="A17" s="34">
        <v>14</v>
      </c>
      <c r="B17" s="35">
        <v>2039</v>
      </c>
      <c r="C17" s="52">
        <f>IF(A17&gt;'1. Sammanfattning'!$E$10,0,IF(A17&lt;=30,'1. Sammanfattning'!$E$14*(1+'1. Sammanfattning'!$E$11)^(A17-1),'1. Sammanfattning'!$E$14*(1+'1. Sammanfattning'!$E$11)^29*'1. Sammanfattning'!$E$15*(1+'1. Sammanfattning'!$E$11)^(A17-31)))</f>
        <v>0</v>
      </c>
      <c r="D17" s="72">
        <f>IF(A17&gt;'1. Sammanfattning'!$E$10,0,IF(A17&lt;=30,(1+'1. Sammanfattning'!$E$11)^(A17-1),(1+'1. Sammanfattning'!$E$11)^29*'1. Sammanfattning'!$E$15*(1+'1. Sammanfattning'!$E$11)^(A17-31)))</f>
        <v>1.2936066304537961</v>
      </c>
    </row>
    <row r="18" spans="1:4" ht="15" customHeight="1" x14ac:dyDescent="0.25">
      <c r="A18" s="34">
        <v>15</v>
      </c>
      <c r="B18" s="35">
        <v>2040</v>
      </c>
      <c r="C18" s="52">
        <f>IF(A18&gt;'1. Sammanfattning'!$E$10,0,IF(A18&lt;=30,'1. Sammanfattning'!$E$14*(1+'1. Sammanfattning'!$E$11)^(A18-1),'1. Sammanfattning'!$E$14*(1+'1. Sammanfattning'!$E$11)^29*'1. Sammanfattning'!$E$15*(1+'1. Sammanfattning'!$E$11)^(A18-31)))</f>
        <v>0</v>
      </c>
      <c r="D18" s="72">
        <f>IF(A18&gt;'1. Sammanfattning'!$E$10,0,IF(A18&lt;=30,(1+'1. Sammanfattning'!$E$11)^(A18-1),(1+'1. Sammanfattning'!$E$11)^29*'1. Sammanfattning'!$E$15*(1+'1. Sammanfattning'!$E$11)^(A18-31)))</f>
        <v>1.3194787630628722</v>
      </c>
    </row>
    <row r="19" spans="1:4" ht="15" customHeight="1" x14ac:dyDescent="0.25">
      <c r="A19" s="34">
        <v>16</v>
      </c>
      <c r="B19" s="35">
        <v>2041</v>
      </c>
      <c r="C19" s="52">
        <f>IF(A19&gt;'1. Sammanfattning'!$E$10,0,IF(A19&lt;=30,'1. Sammanfattning'!$E$14*(1+'1. Sammanfattning'!$E$11)^(A19-1),'1. Sammanfattning'!$E$14*(1+'1. Sammanfattning'!$E$11)^29*'1. Sammanfattning'!$E$15*(1+'1. Sammanfattning'!$E$11)^(A19-31)))</f>
        <v>0</v>
      </c>
      <c r="D19" s="72">
        <f>IF(A19&gt;'1. Sammanfattning'!$E$10,0,IF(A19&lt;=30,(1+'1. Sammanfattning'!$E$11)^(A19-1),(1+'1. Sammanfattning'!$E$11)^29*'1. Sammanfattning'!$E$15*(1+'1. Sammanfattning'!$E$11)^(A19-31)))</f>
        <v>1.3458683383241292</v>
      </c>
    </row>
    <row r="20" spans="1:4" ht="15" customHeight="1" x14ac:dyDescent="0.25">
      <c r="A20" s="34">
        <v>17</v>
      </c>
      <c r="B20" s="35">
        <v>2042</v>
      </c>
      <c r="C20" s="52">
        <f>IF(A20&gt;'1. Sammanfattning'!$E$10,0,IF(A20&lt;=30,'1. Sammanfattning'!$E$14*(1+'1. Sammanfattning'!$E$11)^(A20-1),'1. Sammanfattning'!$E$14*(1+'1. Sammanfattning'!$E$11)^29*'1. Sammanfattning'!$E$15*(1+'1. Sammanfattning'!$E$11)^(A20-31)))</f>
        <v>0</v>
      </c>
      <c r="D20" s="72">
        <f>IF(A20&gt;'1. Sammanfattning'!$E$10,0,IF(A20&lt;=30,(1+'1. Sammanfattning'!$E$11)^(A20-1),(1+'1. Sammanfattning'!$E$11)^29*'1. Sammanfattning'!$E$15*(1+'1. Sammanfattning'!$E$11)^(A20-31)))</f>
        <v>1.372785705090612</v>
      </c>
    </row>
    <row r="21" spans="1:4" ht="15" customHeight="1" x14ac:dyDescent="0.25">
      <c r="A21" s="34">
        <v>18</v>
      </c>
      <c r="B21" s="35">
        <v>2043</v>
      </c>
      <c r="C21" s="52">
        <f>IF(A21&gt;'1. Sammanfattning'!$E$10,0,IF(A21&lt;=30,'1. Sammanfattning'!$E$14*(1+'1. Sammanfattning'!$E$11)^(A21-1),'1. Sammanfattning'!$E$14*(1+'1. Sammanfattning'!$E$11)^29*'1. Sammanfattning'!$E$15*(1+'1. Sammanfattning'!$E$11)^(A21-31)))</f>
        <v>0</v>
      </c>
      <c r="D21" s="72">
        <f>IF(A21&gt;'1. Sammanfattning'!$E$10,0,IF(A21&lt;=30,(1+'1. Sammanfattning'!$E$11)^(A21-1),(1+'1. Sammanfattning'!$E$11)^29*'1. Sammanfattning'!$E$15*(1+'1. Sammanfattning'!$E$11)^(A21-31)))</f>
        <v>1.4002414191924244</v>
      </c>
    </row>
    <row r="22" spans="1:4" ht="15" customHeight="1" x14ac:dyDescent="0.25">
      <c r="A22" s="34">
        <v>19</v>
      </c>
      <c r="B22" s="35">
        <v>2044</v>
      </c>
      <c r="C22" s="52">
        <f>IF(A22&gt;'1. Sammanfattning'!$E$10,0,IF(A22&lt;=30,'1. Sammanfattning'!$E$14*(1+'1. Sammanfattning'!$E$11)^(A22-1),'1. Sammanfattning'!$E$14*(1+'1. Sammanfattning'!$E$11)^29*'1. Sammanfattning'!$E$15*(1+'1. Sammanfattning'!$E$11)^(A22-31)))</f>
        <v>0</v>
      </c>
      <c r="D22" s="72">
        <f>IF(A22&gt;'1. Sammanfattning'!$E$10,0,IF(A22&lt;=30,(1+'1. Sammanfattning'!$E$11)^(A22-1),(1+'1. Sammanfattning'!$E$11)^29*'1. Sammanfattning'!$E$15*(1+'1. Sammanfattning'!$E$11)^(A22-31)))</f>
        <v>1.4282462475762727</v>
      </c>
    </row>
    <row r="23" spans="1:4" ht="15" customHeight="1" x14ac:dyDescent="0.25">
      <c r="A23" s="34">
        <v>20</v>
      </c>
      <c r="B23" s="35">
        <v>2045</v>
      </c>
      <c r="C23" s="52">
        <f>IF(A23&gt;'1. Sammanfattning'!$E$10,0,IF(A23&lt;=30,'1. Sammanfattning'!$E$14*(1+'1. Sammanfattning'!$E$11)^(A23-1),'1. Sammanfattning'!$E$14*(1+'1. Sammanfattning'!$E$11)^29*'1. Sammanfattning'!$E$15*(1+'1. Sammanfattning'!$E$11)^(A23-31)))</f>
        <v>0</v>
      </c>
      <c r="D23" s="72">
        <f>IF(A23&gt;'1. Sammanfattning'!$E$10,0,IF(A23&lt;=30,(1+'1. Sammanfattning'!$E$11)^(A23-1),(1+'1. Sammanfattning'!$E$11)^29*'1. Sammanfattning'!$E$15*(1+'1. Sammanfattning'!$E$11)^(A23-31)))</f>
        <v>1.4568111725277981</v>
      </c>
    </row>
    <row r="24" spans="1:4" ht="15" customHeight="1" x14ac:dyDescent="0.25">
      <c r="A24" s="34">
        <v>21</v>
      </c>
      <c r="B24" s="35">
        <v>2046</v>
      </c>
      <c r="C24" s="52">
        <f>IF(A24&gt;'1. Sammanfattning'!$E$10,0,IF(A24&lt;=30,'1. Sammanfattning'!$E$14*(1+'1. Sammanfattning'!$E$11)^(A24-1),'1. Sammanfattning'!$E$14*(1+'1. Sammanfattning'!$E$11)^29*'1. Sammanfattning'!$E$15*(1+'1. Sammanfattning'!$E$11)^(A24-31)))</f>
        <v>0</v>
      </c>
      <c r="D24" s="72">
        <f>IF(A24&gt;'1. Sammanfattning'!$E$10,0,IF(A24&lt;=30,(1+'1. Sammanfattning'!$E$11)^(A24-1),(1+'1. Sammanfattning'!$E$11)^29*'1. Sammanfattning'!$E$15*(1+'1. Sammanfattning'!$E$11)^(A24-31)))</f>
        <v>1.4859473959783542</v>
      </c>
    </row>
    <row r="25" spans="1:4" ht="15" customHeight="1" x14ac:dyDescent="0.25">
      <c r="A25" s="34">
        <v>22</v>
      </c>
      <c r="B25" s="35">
        <v>2047</v>
      </c>
      <c r="C25" s="52">
        <f>IF(A25&gt;'1. Sammanfattning'!$E$10,0,IF(A25&lt;=30,'1. Sammanfattning'!$E$14*(1+'1. Sammanfattning'!$E$11)^(A25-1),'1. Sammanfattning'!$E$14*(1+'1. Sammanfattning'!$E$11)^29*'1. Sammanfattning'!$E$15*(1+'1. Sammanfattning'!$E$11)^(A25-31)))</f>
        <v>0</v>
      </c>
      <c r="D25" s="72">
        <f>IF(A25&gt;'1. Sammanfattning'!$E$10,0,IF(A25&lt;=30,(1+'1. Sammanfattning'!$E$11)^(A25-1),(1+'1. Sammanfattning'!$E$11)^29*'1. Sammanfattning'!$E$15*(1+'1. Sammanfattning'!$E$11)^(A25-31)))</f>
        <v>1.5156663438979212</v>
      </c>
    </row>
    <row r="26" spans="1:4" ht="15" customHeight="1" x14ac:dyDescent="0.25">
      <c r="A26" s="34">
        <v>23</v>
      </c>
      <c r="B26" s="35">
        <v>2048</v>
      </c>
      <c r="C26" s="52">
        <f>IF(A26&gt;'1. Sammanfattning'!$E$10,0,IF(A26&lt;=30,'1. Sammanfattning'!$E$14*(1+'1. Sammanfattning'!$E$11)^(A26-1),'1. Sammanfattning'!$E$14*(1+'1. Sammanfattning'!$E$11)^29*'1. Sammanfattning'!$E$15*(1+'1. Sammanfattning'!$E$11)^(A26-31)))</f>
        <v>0</v>
      </c>
      <c r="D26" s="72">
        <f>IF(A26&gt;'1. Sammanfattning'!$E$10,0,IF(A26&lt;=30,(1+'1. Sammanfattning'!$E$11)^(A26-1),(1+'1. Sammanfattning'!$E$11)^29*'1. Sammanfattning'!$E$15*(1+'1. Sammanfattning'!$E$11)^(A26-31)))</f>
        <v>1.5459796707758797</v>
      </c>
    </row>
    <row r="27" spans="1:4" ht="15" customHeight="1" x14ac:dyDescent="0.25">
      <c r="A27" s="34">
        <v>24</v>
      </c>
      <c r="B27" s="35">
        <v>2049</v>
      </c>
      <c r="C27" s="52">
        <f>IF(A27&gt;'1. Sammanfattning'!$E$10,0,IF(A27&lt;=30,'1. Sammanfattning'!$E$14*(1+'1. Sammanfattning'!$E$11)^(A27-1),'1. Sammanfattning'!$E$14*(1+'1. Sammanfattning'!$E$11)^29*'1. Sammanfattning'!$E$15*(1+'1. Sammanfattning'!$E$11)^(A27-31)))</f>
        <v>0</v>
      </c>
      <c r="D27" s="72">
        <f>IF(A27&gt;'1. Sammanfattning'!$E$10,0,IF(A27&lt;=30,(1+'1. Sammanfattning'!$E$11)^(A27-1),(1+'1. Sammanfattning'!$E$11)^29*'1. Sammanfattning'!$E$15*(1+'1. Sammanfattning'!$E$11)^(A27-31)))</f>
        <v>1.576899264191397</v>
      </c>
    </row>
    <row r="28" spans="1:4" ht="15" customHeight="1" x14ac:dyDescent="0.25">
      <c r="A28" s="34">
        <v>25</v>
      </c>
      <c r="B28" s="35">
        <v>2050</v>
      </c>
      <c r="C28" s="52">
        <f>IF(A28&gt;'1. Sammanfattning'!$E$10,0,IF(A28&lt;=30,'1. Sammanfattning'!$E$14*(1+'1. Sammanfattning'!$E$11)^(A28-1),'1. Sammanfattning'!$E$14*(1+'1. Sammanfattning'!$E$11)^29*'1. Sammanfattning'!$E$15*(1+'1. Sammanfattning'!$E$11)^(A28-31)))</f>
        <v>0</v>
      </c>
      <c r="D28" s="72">
        <f>IF(A28&gt;'1. Sammanfattning'!$E$10,0,IF(A28&lt;=30,(1+'1. Sammanfattning'!$E$11)^(A28-1),(1+'1. Sammanfattning'!$E$11)^29*'1. Sammanfattning'!$E$15*(1+'1. Sammanfattning'!$E$11)^(A28-31)))</f>
        <v>1.608437249475225</v>
      </c>
    </row>
    <row r="29" spans="1:4" ht="15" customHeight="1" x14ac:dyDescent="0.25">
      <c r="A29" s="34">
        <v>26</v>
      </c>
      <c r="B29" s="35">
        <v>2051</v>
      </c>
      <c r="C29" s="52">
        <f>IF(A29&gt;'1. Sammanfattning'!$E$10,0,IF(A29&lt;=30,'1. Sammanfattning'!$E$14*(1+'1. Sammanfattning'!$E$11)^(A29-1),'1. Sammanfattning'!$E$14*(1+'1. Sammanfattning'!$E$11)^29*'1. Sammanfattning'!$E$15*(1+'1. Sammanfattning'!$E$11)^(A29-31)))</f>
        <v>0</v>
      </c>
      <c r="D29" s="72">
        <f>IF(A29&gt;'1. Sammanfattning'!$E$10,0,IF(A29&lt;=30,(1+'1. Sammanfattning'!$E$11)^(A29-1),(1+'1. Sammanfattning'!$E$11)^29*'1. Sammanfattning'!$E$15*(1+'1. Sammanfattning'!$E$11)^(A29-31)))</f>
        <v>1.6406059944647295</v>
      </c>
    </row>
    <row r="30" spans="1:4" ht="15" customHeight="1" x14ac:dyDescent="0.25">
      <c r="A30" s="34">
        <v>27</v>
      </c>
      <c r="B30" s="35">
        <v>2052</v>
      </c>
      <c r="C30" s="52">
        <f>IF(A30&gt;'1. Sammanfattning'!$E$10,0,IF(A30&lt;=30,'1. Sammanfattning'!$E$14*(1+'1. Sammanfattning'!$E$11)^(A30-1),'1. Sammanfattning'!$E$14*(1+'1. Sammanfattning'!$E$11)^29*'1. Sammanfattning'!$E$15*(1+'1. Sammanfattning'!$E$11)^(A30-31)))</f>
        <v>0</v>
      </c>
      <c r="D30" s="72">
        <f>IF(A30&gt;'1. Sammanfattning'!$E$10,0,IF(A30&lt;=30,(1+'1. Sammanfattning'!$E$11)^(A30-1),(1+'1. Sammanfattning'!$E$11)^29*'1. Sammanfattning'!$E$15*(1+'1. Sammanfattning'!$E$11)^(A30-31)))</f>
        <v>1.6734181143540243</v>
      </c>
    </row>
    <row r="31" spans="1:4" ht="15" customHeight="1" x14ac:dyDescent="0.25">
      <c r="A31" s="34">
        <v>28</v>
      </c>
      <c r="B31" s="35">
        <v>2053</v>
      </c>
      <c r="C31" s="52">
        <f>IF(A31&gt;'1. Sammanfattning'!$E$10,0,IF(A31&lt;=30,'1. Sammanfattning'!$E$14*(1+'1. Sammanfattning'!$E$11)^(A31-1),'1. Sammanfattning'!$E$14*(1+'1. Sammanfattning'!$E$11)^29*'1. Sammanfattning'!$E$15*(1+'1. Sammanfattning'!$E$11)^(A31-31)))</f>
        <v>0</v>
      </c>
      <c r="D31" s="72">
        <f>IF(A31&gt;'1. Sammanfattning'!$E$10,0,IF(A31&lt;=30,(1+'1. Sammanfattning'!$E$11)^(A31-1),(1+'1. Sammanfattning'!$E$11)^29*'1. Sammanfattning'!$E$15*(1+'1. Sammanfattning'!$E$11)^(A31-31)))</f>
        <v>1.7068864766411045</v>
      </c>
    </row>
    <row r="32" spans="1:4" ht="15" customHeight="1" x14ac:dyDescent="0.25">
      <c r="A32" s="34">
        <v>29</v>
      </c>
      <c r="B32" s="35">
        <v>2054</v>
      </c>
      <c r="C32" s="52">
        <f>IF(A32&gt;'1. Sammanfattning'!$E$10,0,IF(A32&lt;=30,'1. Sammanfattning'!$E$14*(1+'1. Sammanfattning'!$E$11)^(A32-1),'1. Sammanfattning'!$E$14*(1+'1. Sammanfattning'!$E$11)^29*'1. Sammanfattning'!$E$15*(1+'1. Sammanfattning'!$E$11)^(A32-31)))</f>
        <v>0</v>
      </c>
      <c r="D32" s="72">
        <f>IF(A32&gt;'1. Sammanfattning'!$E$10,0,IF(A32&lt;=30,(1+'1. Sammanfattning'!$E$11)^(A32-1),(1+'1. Sammanfattning'!$E$11)^29*'1. Sammanfattning'!$E$15*(1+'1. Sammanfattning'!$E$11)^(A32-31)))</f>
        <v>1.7410242061739269</v>
      </c>
    </row>
    <row r="33" spans="1:4" ht="15" customHeight="1" x14ac:dyDescent="0.25">
      <c r="A33" s="34">
        <v>30</v>
      </c>
      <c r="B33" s="35">
        <v>2055</v>
      </c>
      <c r="C33" s="52">
        <f>IF(A33&gt;'1. Sammanfattning'!$E$10,0,IF(A33&lt;=30,'1. Sammanfattning'!$E$14*(1+'1. Sammanfattning'!$E$11)^(A33-1),'1. Sammanfattning'!$E$14*(1+'1. Sammanfattning'!$E$11)^29*'1. Sammanfattning'!$E$15*(1+'1. Sammanfattning'!$E$11)^(A33-31)))</f>
        <v>0</v>
      </c>
      <c r="D33" s="72">
        <f>IF(A33&gt;'1. Sammanfattning'!$E$10,0,IF(A33&lt;=30,(1+'1. Sammanfattning'!$E$11)^(A33-1),(1+'1. Sammanfattning'!$E$11)^29*'1. Sammanfattning'!$E$15*(1+'1. Sammanfattning'!$E$11)^(A33-31)))</f>
        <v>1.7758446902974052</v>
      </c>
    </row>
    <row r="34" spans="1:4" ht="15" customHeight="1" x14ac:dyDescent="0.25">
      <c r="A34" s="34">
        <v>31</v>
      </c>
      <c r="B34" s="35">
        <v>2056</v>
      </c>
      <c r="C34" s="52">
        <f>IF(A34&gt;'1. Sammanfattning'!$E$10,0,IF(A34&lt;=30,'1. Sammanfattning'!$E$14*(1+'1. Sammanfattning'!$E$11)^(A34-1),'1. Sammanfattning'!$E$14*(1+'1. Sammanfattning'!$E$11)^29*'1. Sammanfattning'!$E$15*(1+'1. Sammanfattning'!$E$11)^(A34-31)))</f>
        <v>0</v>
      </c>
      <c r="D34" s="72">
        <f>IF(A34&gt;'1. Sammanfattning'!$E$10,0,IF(A34&lt;=30,(1+'1. Sammanfattning'!$E$11)^(A34-1),(1+'1. Sammanfattning'!$E$11)^29*'1. Sammanfattning'!$E$15*(1+'1. Sammanfattning'!$E$11)^(A34-31)))</f>
        <v>0</v>
      </c>
    </row>
    <row r="35" spans="1:4" ht="15" customHeight="1" x14ac:dyDescent="0.25">
      <c r="A35" s="34">
        <v>32</v>
      </c>
      <c r="B35" s="35">
        <v>2057</v>
      </c>
      <c r="C35" s="52">
        <f>IF(A35&gt;'1. Sammanfattning'!$E$10,0,IF(A35&lt;=30,'1. Sammanfattning'!$E$14*(1+'1. Sammanfattning'!$E$11)^(A35-1),'1. Sammanfattning'!$E$14*(1+'1. Sammanfattning'!$E$11)^29*'1. Sammanfattning'!$E$15*(1+'1. Sammanfattning'!$E$11)^(A35-31)))</f>
        <v>0</v>
      </c>
      <c r="D35" s="72">
        <f>IF(A35&gt;'1. Sammanfattning'!$E$10,0,IF(A35&lt;=30,(1+'1. Sammanfattning'!$E$11)^(A35-1),(1+'1. Sammanfattning'!$E$11)^29*'1. Sammanfattning'!$E$15*(1+'1. Sammanfattning'!$E$11)^(A35-31)))</f>
        <v>0</v>
      </c>
    </row>
    <row r="36" spans="1:4" ht="15" customHeight="1" x14ac:dyDescent="0.25">
      <c r="A36" s="34">
        <v>33</v>
      </c>
      <c r="B36" s="35">
        <v>2058</v>
      </c>
      <c r="C36" s="52">
        <f>IF(A36&gt;'1. Sammanfattning'!$E$10,0,IF(A36&lt;=30,'1. Sammanfattning'!$E$14*(1+'1. Sammanfattning'!$E$11)^(A36-1),'1. Sammanfattning'!$E$14*(1+'1. Sammanfattning'!$E$11)^29*'1. Sammanfattning'!$E$15*(1+'1. Sammanfattning'!$E$11)^(A36-31)))</f>
        <v>0</v>
      </c>
      <c r="D36" s="72">
        <f>IF(A36&gt;'1. Sammanfattning'!$E$10,0,IF(A36&lt;=30,(1+'1. Sammanfattning'!$E$11)^(A36-1),(1+'1. Sammanfattning'!$E$11)^29*'1. Sammanfattning'!$E$15*(1+'1. Sammanfattning'!$E$11)^(A36-31)))</f>
        <v>0</v>
      </c>
    </row>
    <row r="37" spans="1:4" ht="15" customHeight="1" x14ac:dyDescent="0.25">
      <c r="A37" s="34">
        <v>34</v>
      </c>
      <c r="B37" s="35">
        <v>2059</v>
      </c>
      <c r="C37" s="52">
        <f>IF(A37&gt;'1. Sammanfattning'!$E$10,0,IF(A37&lt;=30,'1. Sammanfattning'!$E$14*(1+'1. Sammanfattning'!$E$11)^(A37-1),'1. Sammanfattning'!$E$14*(1+'1. Sammanfattning'!$E$11)^29*'1. Sammanfattning'!$E$15*(1+'1. Sammanfattning'!$E$11)^(A37-31)))</f>
        <v>0</v>
      </c>
      <c r="D37" s="72">
        <f>IF(A37&gt;'1. Sammanfattning'!$E$10,0,IF(A37&lt;=30,(1+'1. Sammanfattning'!$E$11)^(A37-1),(1+'1. Sammanfattning'!$E$11)^29*'1. Sammanfattning'!$E$15*(1+'1. Sammanfattning'!$E$11)^(A37-31)))</f>
        <v>0</v>
      </c>
    </row>
    <row r="38" spans="1:4" ht="15" customHeight="1" x14ac:dyDescent="0.25">
      <c r="A38" s="34">
        <v>35</v>
      </c>
      <c r="B38" s="35">
        <v>2060</v>
      </c>
      <c r="C38" s="52">
        <f>IF(A38&gt;'1. Sammanfattning'!$E$10,0,IF(A38&lt;=30,'1. Sammanfattning'!$E$14*(1+'1. Sammanfattning'!$E$11)^(A38-1),'1. Sammanfattning'!$E$14*(1+'1. Sammanfattning'!$E$11)^29*'1. Sammanfattning'!$E$15*(1+'1. Sammanfattning'!$E$11)^(A38-31)))</f>
        <v>0</v>
      </c>
      <c r="D38" s="72">
        <f>IF(A38&gt;'1. Sammanfattning'!$E$10,0,IF(A38&lt;=30,(1+'1. Sammanfattning'!$E$11)^(A38-1),(1+'1. Sammanfattning'!$E$11)^29*'1. Sammanfattning'!$E$15*(1+'1. Sammanfattning'!$E$11)^(A38-31)))</f>
        <v>0</v>
      </c>
    </row>
    <row r="39" spans="1:4" ht="15" customHeight="1" x14ac:dyDescent="0.25">
      <c r="A39" s="34">
        <v>36</v>
      </c>
      <c r="B39" s="35">
        <v>2061</v>
      </c>
      <c r="C39" s="52">
        <f>IF(A39&gt;'1. Sammanfattning'!$E$10,0,IF(A39&lt;=30,'1. Sammanfattning'!$E$14*(1+'1. Sammanfattning'!$E$11)^(A39-1),'1. Sammanfattning'!$E$14*(1+'1. Sammanfattning'!$E$11)^29*'1. Sammanfattning'!$E$15*(1+'1. Sammanfattning'!$E$11)^(A39-31)))</f>
        <v>0</v>
      </c>
      <c r="D39" s="72">
        <f>IF(A39&gt;'1. Sammanfattning'!$E$10,0,IF(A39&lt;=30,(1+'1. Sammanfattning'!$E$11)^(A39-1),(1+'1. Sammanfattning'!$E$11)^29*'1. Sammanfattning'!$E$15*(1+'1. Sammanfattning'!$E$11)^(A39-31)))</f>
        <v>0</v>
      </c>
    </row>
    <row r="40" spans="1:4" ht="15" customHeight="1" x14ac:dyDescent="0.25">
      <c r="A40" s="34">
        <v>37</v>
      </c>
      <c r="B40" s="35">
        <v>2062</v>
      </c>
      <c r="C40" s="52">
        <f>IF(A40&gt;'1. Sammanfattning'!$E$10,0,IF(A40&lt;=30,'1. Sammanfattning'!$E$14*(1+'1. Sammanfattning'!$E$11)^(A40-1),'1. Sammanfattning'!$E$14*(1+'1. Sammanfattning'!$E$11)^29*'1. Sammanfattning'!$E$15*(1+'1. Sammanfattning'!$E$11)^(A40-31)))</f>
        <v>0</v>
      </c>
      <c r="D40" s="72">
        <f>IF(A40&gt;'1. Sammanfattning'!$E$10,0,IF(A40&lt;=30,(1+'1. Sammanfattning'!$E$11)^(A40-1),(1+'1. Sammanfattning'!$E$11)^29*'1. Sammanfattning'!$E$15*(1+'1. Sammanfattning'!$E$11)^(A40-31)))</f>
        <v>0</v>
      </c>
    </row>
    <row r="41" spans="1:4" ht="15" customHeight="1" x14ac:dyDescent="0.25">
      <c r="A41" s="34">
        <v>38</v>
      </c>
      <c r="B41" s="35">
        <v>2063</v>
      </c>
      <c r="C41" s="52">
        <f>IF(A41&gt;'1. Sammanfattning'!$E$10,0,IF(A41&lt;=30,'1. Sammanfattning'!$E$14*(1+'1. Sammanfattning'!$E$11)^(A41-1),'1. Sammanfattning'!$E$14*(1+'1. Sammanfattning'!$E$11)^29*'1. Sammanfattning'!$E$15*(1+'1. Sammanfattning'!$E$11)^(A41-31)))</f>
        <v>0</v>
      </c>
      <c r="D41" s="72">
        <f>IF(A41&gt;'1. Sammanfattning'!$E$10,0,IF(A41&lt;=30,(1+'1. Sammanfattning'!$E$11)^(A41-1),(1+'1. Sammanfattning'!$E$11)^29*'1. Sammanfattning'!$E$15*(1+'1. Sammanfattning'!$E$11)^(A41-31)))</f>
        <v>0</v>
      </c>
    </row>
    <row r="42" spans="1:4" ht="15" customHeight="1" x14ac:dyDescent="0.25">
      <c r="A42" s="34">
        <v>39</v>
      </c>
      <c r="B42" s="35">
        <v>2064</v>
      </c>
      <c r="C42" s="52">
        <f>IF(A42&gt;'1. Sammanfattning'!$E$10,0,IF(A42&lt;=30,'1. Sammanfattning'!$E$14*(1+'1. Sammanfattning'!$E$11)^(A42-1),'1. Sammanfattning'!$E$14*(1+'1. Sammanfattning'!$E$11)^29*'1. Sammanfattning'!$E$15*(1+'1. Sammanfattning'!$E$11)^(A42-31)))</f>
        <v>0</v>
      </c>
      <c r="D42" s="72">
        <f>IF(A42&gt;'1. Sammanfattning'!$E$10,0,IF(A42&lt;=30,(1+'1. Sammanfattning'!$E$11)^(A42-1),(1+'1. Sammanfattning'!$E$11)^29*'1. Sammanfattning'!$E$15*(1+'1. Sammanfattning'!$E$11)^(A42-31)))</f>
        <v>0</v>
      </c>
    </row>
    <row r="43" spans="1:4" ht="15" customHeight="1" x14ac:dyDescent="0.25">
      <c r="A43" s="34">
        <v>40</v>
      </c>
      <c r="B43" s="35">
        <v>2065</v>
      </c>
      <c r="C43" s="52">
        <f>IF(A43&gt;'1. Sammanfattning'!$E$10,0,IF(A43&lt;=30,'1. Sammanfattning'!$E$14*(1+'1. Sammanfattning'!$E$11)^(A43-1),'1. Sammanfattning'!$E$14*(1+'1. Sammanfattning'!$E$11)^29*'1. Sammanfattning'!$E$15*(1+'1. Sammanfattning'!$E$11)^(A43-31)))</f>
        <v>0</v>
      </c>
      <c r="D43" s="72">
        <f>IF(A43&gt;'1. Sammanfattning'!$E$10,0,IF(A43&lt;=30,(1+'1. Sammanfattning'!$E$11)^(A43-1),(1+'1. Sammanfattning'!$E$11)^29*'1. Sammanfattning'!$E$15*(1+'1. Sammanfattning'!$E$11)^(A43-31)))</f>
        <v>0</v>
      </c>
    </row>
    <row r="44" spans="1:4" ht="15" customHeight="1" x14ac:dyDescent="0.25">
      <c r="A44" s="34">
        <v>41</v>
      </c>
      <c r="B44" s="35">
        <v>2066</v>
      </c>
      <c r="C44" s="52">
        <f>IF(A44&gt;'1. Sammanfattning'!$E$10,0,IF(A44&lt;=30,'1. Sammanfattning'!$E$14*(1+'1. Sammanfattning'!$E$11)^(A44-1),'1. Sammanfattning'!$E$14*(1+'1. Sammanfattning'!$E$11)^29*'1. Sammanfattning'!$E$15*(1+'1. Sammanfattning'!$E$11)^(A44-31)))</f>
        <v>0</v>
      </c>
      <c r="D44" s="72">
        <f>IF(A44&gt;'1. Sammanfattning'!$E$10,0,IF(A44&lt;=30,(1+'1. Sammanfattning'!$E$11)^(A44-1),(1+'1. Sammanfattning'!$E$11)^29*'1. Sammanfattning'!$E$15*(1+'1. Sammanfattning'!$E$11)^(A44-31)))</f>
        <v>0</v>
      </c>
    </row>
    <row r="45" spans="1:4" ht="15" customHeight="1" x14ac:dyDescent="0.25">
      <c r="A45" s="34">
        <v>42</v>
      </c>
      <c r="B45" s="35">
        <v>2067</v>
      </c>
      <c r="C45" s="52">
        <f>IF(A45&gt;'1. Sammanfattning'!$E$10,0,IF(A45&lt;=30,'1. Sammanfattning'!$E$14*(1+'1. Sammanfattning'!$E$11)^(A45-1),'1. Sammanfattning'!$E$14*(1+'1. Sammanfattning'!$E$11)^29*'1. Sammanfattning'!$E$15*(1+'1. Sammanfattning'!$E$11)^(A45-31)))</f>
        <v>0</v>
      </c>
      <c r="D45" s="72">
        <f>IF(A45&gt;'1. Sammanfattning'!$E$10,0,IF(A45&lt;=30,(1+'1. Sammanfattning'!$E$11)^(A45-1),(1+'1. Sammanfattning'!$E$11)^29*'1. Sammanfattning'!$E$15*(1+'1. Sammanfattning'!$E$11)^(A45-31)))</f>
        <v>0</v>
      </c>
    </row>
    <row r="46" spans="1:4" ht="15" customHeight="1" x14ac:dyDescent="0.25">
      <c r="A46" s="34">
        <v>43</v>
      </c>
      <c r="B46" s="35">
        <v>2068</v>
      </c>
      <c r="C46" s="52">
        <f>IF(A46&gt;'1. Sammanfattning'!$E$10,0,IF(A46&lt;=30,'1. Sammanfattning'!$E$14*(1+'1. Sammanfattning'!$E$11)^(A46-1),'1. Sammanfattning'!$E$14*(1+'1. Sammanfattning'!$E$11)^29*'1. Sammanfattning'!$E$15*(1+'1. Sammanfattning'!$E$11)^(A46-31)))</f>
        <v>0</v>
      </c>
      <c r="D46" s="72">
        <f>IF(A46&gt;'1. Sammanfattning'!$E$10,0,IF(A46&lt;=30,(1+'1. Sammanfattning'!$E$11)^(A46-1),(1+'1. Sammanfattning'!$E$11)^29*'1. Sammanfattning'!$E$15*(1+'1. Sammanfattning'!$E$11)^(A46-31)))</f>
        <v>0</v>
      </c>
    </row>
    <row r="47" spans="1:4" ht="15" customHeight="1" x14ac:dyDescent="0.25">
      <c r="A47" s="34">
        <v>44</v>
      </c>
      <c r="B47" s="35">
        <v>2069</v>
      </c>
      <c r="C47" s="52">
        <f>IF(A47&gt;'1. Sammanfattning'!$E$10,0,IF(A47&lt;=30,'1. Sammanfattning'!$E$14*(1+'1. Sammanfattning'!$E$11)^(A47-1),'1. Sammanfattning'!$E$14*(1+'1. Sammanfattning'!$E$11)^29*'1. Sammanfattning'!$E$15*(1+'1. Sammanfattning'!$E$11)^(A47-31)))</f>
        <v>0</v>
      </c>
      <c r="D47" s="72">
        <f>IF(A47&gt;'1. Sammanfattning'!$E$10,0,IF(A47&lt;=30,(1+'1. Sammanfattning'!$E$11)^(A47-1),(1+'1. Sammanfattning'!$E$11)^29*'1. Sammanfattning'!$E$15*(1+'1. Sammanfattning'!$E$11)^(A47-31)))</f>
        <v>0</v>
      </c>
    </row>
    <row r="48" spans="1:4" ht="15" customHeight="1" x14ac:dyDescent="0.25">
      <c r="A48" s="34">
        <v>45</v>
      </c>
      <c r="B48" s="35">
        <v>2070</v>
      </c>
      <c r="C48" s="52">
        <f>IF(A48&gt;'1. Sammanfattning'!$E$10,0,IF(A48&lt;=30,'1. Sammanfattning'!$E$14*(1+'1. Sammanfattning'!$E$11)^(A48-1),'1. Sammanfattning'!$E$14*(1+'1. Sammanfattning'!$E$11)^29*'1. Sammanfattning'!$E$15*(1+'1. Sammanfattning'!$E$11)^(A48-31)))</f>
        <v>0</v>
      </c>
      <c r="D48" s="72">
        <f>IF(A48&gt;'1. Sammanfattning'!$E$10,0,IF(A48&lt;=30,(1+'1. Sammanfattning'!$E$11)^(A48-1),(1+'1. Sammanfattning'!$E$11)^29*'1. Sammanfattning'!$E$15*(1+'1. Sammanfattning'!$E$11)^(A48-31)))</f>
        <v>0</v>
      </c>
    </row>
    <row r="49" spans="1:4" ht="15" customHeight="1" x14ac:dyDescent="0.25">
      <c r="A49" s="34">
        <v>46</v>
      </c>
      <c r="B49" s="35">
        <v>2071</v>
      </c>
      <c r="C49" s="52">
        <f>IF(A49&gt;'1. Sammanfattning'!$E$10,0,IF(A49&lt;=30,'1. Sammanfattning'!$E$14*(1+'1. Sammanfattning'!$E$11)^(A49-1),'1. Sammanfattning'!$E$14*(1+'1. Sammanfattning'!$E$11)^29*'1. Sammanfattning'!$E$15*(1+'1. Sammanfattning'!$E$11)^(A49-31)))</f>
        <v>0</v>
      </c>
      <c r="D49" s="72">
        <f>IF(A49&gt;'1. Sammanfattning'!$E$10,0,IF(A49&lt;=30,(1+'1. Sammanfattning'!$E$11)^(A49-1),(1+'1. Sammanfattning'!$E$11)^29*'1. Sammanfattning'!$E$15*(1+'1. Sammanfattning'!$E$11)^(A49-31)))</f>
        <v>0</v>
      </c>
    </row>
    <row r="50" spans="1:4" ht="15" customHeight="1" x14ac:dyDescent="0.25">
      <c r="A50" s="34">
        <v>47</v>
      </c>
      <c r="B50" s="35">
        <v>2072</v>
      </c>
      <c r="C50" s="52">
        <f>IF(A50&gt;'1. Sammanfattning'!$E$10,0,IF(A50&lt;=30,'1. Sammanfattning'!$E$14*(1+'1. Sammanfattning'!$E$11)^(A50-1),'1. Sammanfattning'!$E$14*(1+'1. Sammanfattning'!$E$11)^29*'1. Sammanfattning'!$E$15*(1+'1. Sammanfattning'!$E$11)^(A50-31)))</f>
        <v>0</v>
      </c>
      <c r="D50" s="72">
        <f>IF(A50&gt;'1. Sammanfattning'!$E$10,0,IF(A50&lt;=30,(1+'1. Sammanfattning'!$E$11)^(A50-1),(1+'1. Sammanfattning'!$E$11)^29*'1. Sammanfattning'!$E$15*(1+'1. Sammanfattning'!$E$11)^(A50-31)))</f>
        <v>0</v>
      </c>
    </row>
    <row r="51" spans="1:4" ht="15" customHeight="1" x14ac:dyDescent="0.25">
      <c r="A51" s="34">
        <v>48</v>
      </c>
      <c r="B51" s="35">
        <v>2073</v>
      </c>
      <c r="C51" s="52">
        <f>IF(A51&gt;'1. Sammanfattning'!$E$10,0,IF(A51&lt;=30,'1. Sammanfattning'!$E$14*(1+'1. Sammanfattning'!$E$11)^(A51-1),'1. Sammanfattning'!$E$14*(1+'1. Sammanfattning'!$E$11)^29*'1. Sammanfattning'!$E$15*(1+'1. Sammanfattning'!$E$11)^(A51-31)))</f>
        <v>0</v>
      </c>
      <c r="D51" s="72">
        <f>IF(A51&gt;'1. Sammanfattning'!$E$10,0,IF(A51&lt;=30,(1+'1. Sammanfattning'!$E$11)^(A51-1),(1+'1. Sammanfattning'!$E$11)^29*'1. Sammanfattning'!$E$15*(1+'1. Sammanfattning'!$E$11)^(A51-31)))</f>
        <v>0</v>
      </c>
    </row>
    <row r="52" spans="1:4" ht="15" customHeight="1" x14ac:dyDescent="0.25">
      <c r="A52" s="34">
        <v>49</v>
      </c>
      <c r="B52" s="35">
        <v>2074</v>
      </c>
      <c r="C52" s="52">
        <f>IF(A52&gt;'1. Sammanfattning'!$E$10,0,IF(A52&lt;=30,'1. Sammanfattning'!$E$14*(1+'1. Sammanfattning'!$E$11)^(A52-1),'1. Sammanfattning'!$E$14*(1+'1. Sammanfattning'!$E$11)^29*'1. Sammanfattning'!$E$15*(1+'1. Sammanfattning'!$E$11)^(A52-31)))</f>
        <v>0</v>
      </c>
      <c r="D52" s="72">
        <f>IF(A52&gt;'1. Sammanfattning'!$E$10,0,IF(A52&lt;=30,(1+'1. Sammanfattning'!$E$11)^(A52-1),(1+'1. Sammanfattning'!$E$11)^29*'1. Sammanfattning'!$E$15*(1+'1. Sammanfattning'!$E$11)^(A52-31)))</f>
        <v>0</v>
      </c>
    </row>
    <row r="53" spans="1:4" ht="15" customHeight="1" x14ac:dyDescent="0.25">
      <c r="A53" s="34">
        <v>50</v>
      </c>
      <c r="B53" s="35">
        <v>2075</v>
      </c>
      <c r="C53" s="52">
        <f>IF(A53&gt;'1. Sammanfattning'!$E$10,0,IF(A53&lt;=30,'1. Sammanfattning'!$E$14*(1+'1. Sammanfattning'!$E$11)^(A53-1),'1. Sammanfattning'!$E$14*(1+'1. Sammanfattning'!$E$11)^29*'1. Sammanfattning'!$E$15*(1+'1. Sammanfattning'!$E$11)^(A53-31)))</f>
        <v>0</v>
      </c>
      <c r="D53" s="72">
        <f>IF(A53&gt;'1. Sammanfattning'!$E$10,0,IF(A53&lt;=30,(1+'1. Sammanfattning'!$E$11)^(A53-1),(1+'1. Sammanfattning'!$E$11)^29*'1. Sammanfattning'!$E$15*(1+'1. Sammanfattning'!$E$11)^(A53-31)))</f>
        <v>0</v>
      </c>
    </row>
    <row r="54" spans="1:4" ht="15" customHeight="1" x14ac:dyDescent="0.25">
      <c r="A54" s="122" t="s">
        <v>149</v>
      </c>
      <c r="B54" s="123"/>
      <c r="C54" s="55">
        <f>SUM(C4:C53)</f>
        <v>0</v>
      </c>
      <c r="D54" s="59">
        <f>SUM(D4:D53)</f>
        <v>40.568079205167678</v>
      </c>
    </row>
    <row r="56" spans="1:4" ht="15" customHeight="1" x14ac:dyDescent="0.25">
      <c r="A56" s="122" t="s">
        <v>150</v>
      </c>
      <c r="B56" s="123"/>
      <c r="C56" s="57">
        <f>SUMPRODUCT(C4:C53/(1+'1. Sammanfattning'!$E$9)^(A4:A53-1))</f>
        <v>0</v>
      </c>
      <c r="D56" s="59">
        <f>SUMPRODUCT(D4:D53/(1+'1. Sammanfattning'!$E$9)^(A4:A53-1))</f>
        <v>26.135530097326964</v>
      </c>
    </row>
  </sheetData>
  <mergeCells count="4">
    <mergeCell ref="A56:B56"/>
    <mergeCell ref="A1:D1"/>
    <mergeCell ref="A54:B54"/>
    <mergeCell ref="A2:D2"/>
  </mergeCells>
  <printOptions horizontalCentered="1"/>
  <pageMargins left="0.4" right="0.4" top="0.4" bottom="0.4" header="0.511811023622047" footer="0.511811023622047"/>
  <pageSetup paperSize="9" scale="61"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8"/>
  <sheetViews>
    <sheetView showGridLines="0" zoomScaleNormal="100" workbookViewId="0">
      <selection sqref="A1:G1"/>
    </sheetView>
  </sheetViews>
  <sheetFormatPr defaultColWidth="8.7109375" defaultRowHeight="15" x14ac:dyDescent="0.25"/>
  <cols>
    <col min="1" max="1" width="45" style="85" customWidth="1"/>
    <col min="2" max="2" width="14" style="85" customWidth="1"/>
    <col min="3" max="5" width="16" style="85" customWidth="1"/>
  </cols>
  <sheetData>
    <row r="1" spans="1:7" ht="31.5" customHeight="1" x14ac:dyDescent="0.25">
      <c r="A1" s="121" t="s">
        <v>158</v>
      </c>
      <c r="B1" s="110"/>
      <c r="C1" s="110"/>
      <c r="D1" s="110"/>
      <c r="E1" s="110"/>
      <c r="F1" s="110"/>
      <c r="G1" s="110"/>
    </row>
    <row r="2" spans="1:7" ht="15" customHeight="1" x14ac:dyDescent="0.25">
      <c r="A2" s="130" t="s">
        <v>159</v>
      </c>
      <c r="B2" s="93"/>
      <c r="C2" s="93"/>
      <c r="D2" s="93"/>
      <c r="E2" s="93"/>
      <c r="F2" s="93"/>
      <c r="G2" s="93"/>
    </row>
    <row r="3" spans="1:7" ht="15" customHeight="1" x14ac:dyDescent="0.25">
      <c r="A3" s="99" t="s">
        <v>160</v>
      </c>
      <c r="B3" s="100"/>
      <c r="C3" s="100"/>
      <c r="D3" s="86"/>
      <c r="E3" s="86"/>
      <c r="F3" s="86"/>
      <c r="G3" s="86"/>
    </row>
    <row r="4" spans="1:7" ht="15" customHeight="1" x14ac:dyDescent="0.25">
      <c r="A4" s="82" t="s">
        <v>161</v>
      </c>
      <c r="B4" s="37" t="s">
        <v>162</v>
      </c>
    </row>
    <row r="5" spans="1:7" ht="15" customHeight="1" x14ac:dyDescent="0.25">
      <c r="A5" s="82" t="s">
        <v>163</v>
      </c>
      <c r="B5" s="38">
        <f>'4. Kommunalt ägande'!H62</f>
        <v>300.14999999999998</v>
      </c>
    </row>
    <row r="7" spans="1:7" ht="15" customHeight="1" x14ac:dyDescent="0.25">
      <c r="A7" s="82" t="s">
        <v>164</v>
      </c>
      <c r="B7" s="38">
        <f>'4. Kommunalt ägande'!J54</f>
        <v>683.12822523100613</v>
      </c>
    </row>
    <row r="8" spans="1:7" ht="15" customHeight="1" x14ac:dyDescent="0.25">
      <c r="A8" s="82" t="s">
        <v>165</v>
      </c>
      <c r="B8" s="38">
        <f>'5. Extern aktör'!C54</f>
        <v>0</v>
      </c>
    </row>
    <row r="9" spans="1:7" ht="15" customHeight="1" x14ac:dyDescent="0.25">
      <c r="A9" s="82" t="s">
        <v>166</v>
      </c>
      <c r="B9" s="73">
        <f>'4. Kommunalt ägande'!J54-'5. Extern aktör'!C54</f>
        <v>683.12822523100613</v>
      </c>
    </row>
    <row r="11" spans="1:7" ht="15" customHeight="1" x14ac:dyDescent="0.25">
      <c r="A11" s="82" t="s">
        <v>167</v>
      </c>
      <c r="B11" s="38">
        <f>'4. Kommunalt ägande'!J56</f>
        <v>465.96768058396185</v>
      </c>
    </row>
    <row r="12" spans="1:7" ht="15" customHeight="1" x14ac:dyDescent="0.25">
      <c r="A12" s="82" t="s">
        <v>168</v>
      </c>
      <c r="B12" s="38">
        <f>'5. Extern aktör'!C56</f>
        <v>0</v>
      </c>
    </row>
    <row r="13" spans="1:7" ht="15" customHeight="1" x14ac:dyDescent="0.25">
      <c r="A13" s="82" t="s">
        <v>169</v>
      </c>
      <c r="B13" s="73">
        <f>'4. Kommunalt ägande'!J56-'5. Extern aktör'!C56</f>
        <v>465.96768058396185</v>
      </c>
    </row>
    <row r="16" spans="1:7" ht="15" customHeight="1" x14ac:dyDescent="0.25">
      <c r="A16" s="129" t="s">
        <v>170</v>
      </c>
      <c r="B16" s="93"/>
      <c r="C16" s="93"/>
      <c r="D16" s="93"/>
      <c r="E16" s="93"/>
    </row>
    <row r="17" spans="1:5" ht="38.25" customHeight="1" x14ac:dyDescent="0.25">
      <c r="A17" s="14" t="s">
        <v>46</v>
      </c>
      <c r="B17" s="32" t="s">
        <v>143</v>
      </c>
      <c r="C17" s="32" t="s">
        <v>171</v>
      </c>
      <c r="D17" s="32" t="s">
        <v>172</v>
      </c>
      <c r="E17" s="32" t="s">
        <v>173</v>
      </c>
    </row>
    <row r="18" spans="1:5" ht="15" customHeight="1" x14ac:dyDescent="0.25">
      <c r="A18" s="39">
        <v>1</v>
      </c>
      <c r="B18" s="40">
        <v>2026</v>
      </c>
      <c r="C18" s="54">
        <f>'4. Kommunalt ägande'!J4</f>
        <v>25.009499999999996</v>
      </c>
      <c r="D18" s="54">
        <f>'5. Extern aktör'!C4</f>
        <v>0</v>
      </c>
      <c r="E18" s="73">
        <f t="shared" ref="E18:E49" si="0">C18-D18</f>
        <v>25.009499999999996</v>
      </c>
    </row>
    <row r="19" spans="1:5" ht="15" customHeight="1" x14ac:dyDescent="0.25">
      <c r="A19" s="39">
        <v>2</v>
      </c>
      <c r="B19" s="40">
        <v>2027</v>
      </c>
      <c r="C19" s="54">
        <f>'4. Kommunalt ägande'!J5</f>
        <v>24.829349999999998</v>
      </c>
      <c r="D19" s="54">
        <f>'5. Extern aktör'!C5</f>
        <v>0</v>
      </c>
      <c r="E19" s="73">
        <f t="shared" si="0"/>
        <v>24.829349999999998</v>
      </c>
    </row>
    <row r="20" spans="1:5" ht="15" customHeight="1" x14ac:dyDescent="0.25">
      <c r="A20" s="39">
        <v>3</v>
      </c>
      <c r="B20" s="40">
        <v>2028</v>
      </c>
      <c r="C20" s="54">
        <f>'4. Kommunalt ägande'!J6</f>
        <v>24.651599999999998</v>
      </c>
      <c r="D20" s="54">
        <f>'5. Extern aktör'!C6</f>
        <v>0</v>
      </c>
      <c r="E20" s="73">
        <f t="shared" si="0"/>
        <v>24.651599999999998</v>
      </c>
    </row>
    <row r="21" spans="1:5" ht="15" customHeight="1" x14ac:dyDescent="0.25">
      <c r="A21" s="39">
        <v>4</v>
      </c>
      <c r="B21" s="40">
        <v>2029</v>
      </c>
      <c r="C21" s="54">
        <f>'4. Kommunalt ägande'!J7</f>
        <v>24.476297999999993</v>
      </c>
      <c r="D21" s="54">
        <f>'5. Extern aktör'!C7</f>
        <v>0</v>
      </c>
      <c r="E21" s="73">
        <f t="shared" si="0"/>
        <v>24.476297999999993</v>
      </c>
    </row>
    <row r="22" spans="1:5" ht="15" customHeight="1" x14ac:dyDescent="0.25">
      <c r="A22" s="39">
        <v>5</v>
      </c>
      <c r="B22" s="40">
        <v>2030</v>
      </c>
      <c r="C22" s="54">
        <f>'4. Kommunalt ägande'!J8</f>
        <v>24.303492959999996</v>
      </c>
      <c r="D22" s="54">
        <f>'5. Extern aktör'!C8</f>
        <v>0</v>
      </c>
      <c r="E22" s="73">
        <f t="shared" si="0"/>
        <v>24.303492959999996</v>
      </c>
    </row>
    <row r="23" spans="1:5" ht="15" customHeight="1" x14ac:dyDescent="0.25">
      <c r="A23" s="39">
        <v>6</v>
      </c>
      <c r="B23" s="40">
        <v>2031</v>
      </c>
      <c r="C23" s="54">
        <f>'4. Kommunalt ägande'!J9</f>
        <v>24.133234819199998</v>
      </c>
      <c r="D23" s="54">
        <f>'5. Extern aktör'!C9</f>
        <v>0</v>
      </c>
      <c r="E23" s="73">
        <f t="shared" si="0"/>
        <v>24.133234819199998</v>
      </c>
    </row>
    <row r="24" spans="1:5" ht="15" customHeight="1" x14ac:dyDescent="0.25">
      <c r="A24" s="39">
        <v>7</v>
      </c>
      <c r="B24" s="40">
        <v>2032</v>
      </c>
      <c r="C24" s="54">
        <f>'4. Kommunalt ägande'!J10</f>
        <v>23.965574515583995</v>
      </c>
      <c r="D24" s="54">
        <f>'5. Extern aktör'!C10</f>
        <v>0</v>
      </c>
      <c r="E24" s="73">
        <f t="shared" si="0"/>
        <v>23.965574515583995</v>
      </c>
    </row>
    <row r="25" spans="1:5" ht="15" customHeight="1" x14ac:dyDescent="0.25">
      <c r="A25" s="39">
        <v>8</v>
      </c>
      <c r="B25" s="40">
        <v>2033</v>
      </c>
      <c r="C25" s="54">
        <f>'4. Kommunalt ägande'!J11</f>
        <v>23.800564005895676</v>
      </c>
      <c r="D25" s="54">
        <f>'5. Extern aktör'!C11</f>
        <v>0</v>
      </c>
      <c r="E25" s="73">
        <f t="shared" si="0"/>
        <v>23.800564005895676</v>
      </c>
    </row>
    <row r="26" spans="1:5" ht="15" customHeight="1" x14ac:dyDescent="0.25">
      <c r="A26" s="39">
        <v>9</v>
      </c>
      <c r="B26" s="40">
        <v>2034</v>
      </c>
      <c r="C26" s="54">
        <f>'4. Kommunalt ägande'!J12</f>
        <v>23.638256286013593</v>
      </c>
      <c r="D26" s="54">
        <f>'5. Extern aktör'!C12</f>
        <v>0</v>
      </c>
      <c r="E26" s="73">
        <f t="shared" si="0"/>
        <v>23.638256286013593</v>
      </c>
    </row>
    <row r="27" spans="1:5" ht="15" customHeight="1" x14ac:dyDescent="0.25">
      <c r="A27" s="39">
        <v>10</v>
      </c>
      <c r="B27" s="40">
        <v>2035</v>
      </c>
      <c r="C27" s="54">
        <f>'4. Kommunalt ägande'!J13</f>
        <v>23.478705411733863</v>
      </c>
      <c r="D27" s="54">
        <f>'5. Extern aktör'!C13</f>
        <v>0</v>
      </c>
      <c r="E27" s="73">
        <f t="shared" si="0"/>
        <v>23.478705411733863</v>
      </c>
    </row>
    <row r="28" spans="1:5" ht="15" customHeight="1" x14ac:dyDescent="0.25">
      <c r="A28" s="39">
        <v>11</v>
      </c>
      <c r="B28" s="40">
        <v>2036</v>
      </c>
      <c r="C28" s="54">
        <f>'4. Kommunalt ägande'!J14</f>
        <v>23.321966519968544</v>
      </c>
      <c r="D28" s="54">
        <f>'5. Extern aktör'!C14</f>
        <v>0</v>
      </c>
      <c r="E28" s="73">
        <f t="shared" si="0"/>
        <v>23.321966519968544</v>
      </c>
    </row>
    <row r="29" spans="1:5" ht="15" customHeight="1" x14ac:dyDescent="0.25">
      <c r="A29" s="39">
        <v>12</v>
      </c>
      <c r="B29" s="40">
        <v>2037</v>
      </c>
      <c r="C29" s="54">
        <f>'4. Kommunalt ägande'!J15</f>
        <v>23.168095850367909</v>
      </c>
      <c r="D29" s="54">
        <f>'5. Extern aktör'!C15</f>
        <v>0</v>
      </c>
      <c r="E29" s="73">
        <f t="shared" si="0"/>
        <v>23.168095850367909</v>
      </c>
    </row>
    <row r="30" spans="1:5" ht="15" customHeight="1" x14ac:dyDescent="0.25">
      <c r="A30" s="39">
        <v>13</v>
      </c>
      <c r="B30" s="40">
        <v>2038</v>
      </c>
      <c r="C30" s="54">
        <f>'4. Kommunalt ägande'!J16</f>
        <v>23.01715076737527</v>
      </c>
      <c r="D30" s="54">
        <f>'5. Extern aktör'!C16</f>
        <v>0</v>
      </c>
      <c r="E30" s="73">
        <f t="shared" si="0"/>
        <v>23.01715076737527</v>
      </c>
    </row>
    <row r="31" spans="1:5" ht="15" customHeight="1" x14ac:dyDescent="0.25">
      <c r="A31" s="39">
        <v>14</v>
      </c>
      <c r="B31" s="40">
        <v>2039</v>
      </c>
      <c r="C31" s="54">
        <f>'4. Kommunalt ägande'!J17</f>
        <v>22.869189782722778</v>
      </c>
      <c r="D31" s="54">
        <f>'5. Extern aktör'!C17</f>
        <v>0</v>
      </c>
      <c r="E31" s="73">
        <f t="shared" si="0"/>
        <v>22.869189782722778</v>
      </c>
    </row>
    <row r="32" spans="1:5" ht="15" customHeight="1" x14ac:dyDescent="0.25">
      <c r="A32" s="39">
        <v>15</v>
      </c>
      <c r="B32" s="40">
        <v>2040</v>
      </c>
      <c r="C32" s="54">
        <f>'4. Kommunalt ägande'!J18</f>
        <v>22.724272578377231</v>
      </c>
      <c r="D32" s="54">
        <f>'5. Extern aktör'!C18</f>
        <v>0</v>
      </c>
      <c r="E32" s="73">
        <f t="shared" si="0"/>
        <v>22.724272578377231</v>
      </c>
    </row>
    <row r="33" spans="1:5" ht="15" customHeight="1" x14ac:dyDescent="0.25">
      <c r="A33" s="39">
        <v>16</v>
      </c>
      <c r="B33" s="40">
        <v>2041</v>
      </c>
      <c r="C33" s="54">
        <f>'4. Kommunalt ägande'!J19</f>
        <v>22.582460029944777</v>
      </c>
      <c r="D33" s="54">
        <f>'5. Extern aktör'!C19</f>
        <v>0</v>
      </c>
      <c r="E33" s="73">
        <f t="shared" si="0"/>
        <v>22.582460029944777</v>
      </c>
    </row>
    <row r="34" spans="1:5" ht="15" customHeight="1" x14ac:dyDescent="0.25">
      <c r="A34" s="39">
        <v>17</v>
      </c>
      <c r="B34" s="40">
        <v>2042</v>
      </c>
      <c r="C34" s="54">
        <f>'4. Kommunalt ägande'!J20</f>
        <v>22.443814230543669</v>
      </c>
      <c r="D34" s="54">
        <f>'5. Extern aktör'!C20</f>
        <v>0</v>
      </c>
      <c r="E34" s="73">
        <f t="shared" si="0"/>
        <v>22.443814230543669</v>
      </c>
    </row>
    <row r="35" spans="1:5" ht="15" customHeight="1" x14ac:dyDescent="0.25">
      <c r="A35" s="39">
        <v>18</v>
      </c>
      <c r="B35" s="40">
        <v>2043</v>
      </c>
      <c r="C35" s="54">
        <f>'4. Kommunalt ägande'!J21</f>
        <v>22.308398515154543</v>
      </c>
      <c r="D35" s="54">
        <f>'5. Extern aktör'!C21</f>
        <v>0</v>
      </c>
      <c r="E35" s="73">
        <f t="shared" si="0"/>
        <v>22.308398515154543</v>
      </c>
    </row>
    <row r="36" spans="1:5" ht="15" customHeight="1" x14ac:dyDescent="0.25">
      <c r="A36" s="39">
        <v>19</v>
      </c>
      <c r="B36" s="40">
        <v>2044</v>
      </c>
      <c r="C36" s="54">
        <f>'4. Kommunalt ägande'!J22</f>
        <v>22.176277485457639</v>
      </c>
      <c r="D36" s="54">
        <f>'5. Extern aktör'!C22</f>
        <v>0</v>
      </c>
      <c r="E36" s="73">
        <f t="shared" si="0"/>
        <v>22.176277485457639</v>
      </c>
    </row>
    <row r="37" spans="1:5" ht="15" customHeight="1" x14ac:dyDescent="0.25">
      <c r="A37" s="39">
        <v>20</v>
      </c>
      <c r="B37" s="40">
        <v>2045</v>
      </c>
      <c r="C37" s="54">
        <f>'4. Kommunalt ägande'!J23</f>
        <v>22.047517035166788</v>
      </c>
      <c r="D37" s="54">
        <f>'5. Extern aktör'!C23</f>
        <v>0</v>
      </c>
      <c r="E37" s="73">
        <f t="shared" si="0"/>
        <v>22.047517035166788</v>
      </c>
    </row>
    <row r="38" spans="1:5" ht="15" customHeight="1" x14ac:dyDescent="0.25">
      <c r="A38" s="39">
        <v>21</v>
      </c>
      <c r="B38" s="40">
        <v>2046</v>
      </c>
      <c r="C38" s="54">
        <f>'4. Kommunalt ägande'!J24</f>
        <v>21.922184375870124</v>
      </c>
      <c r="D38" s="54">
        <f>'5. Extern aktör'!C24</f>
        <v>0</v>
      </c>
      <c r="E38" s="73">
        <f t="shared" si="0"/>
        <v>21.922184375870124</v>
      </c>
    </row>
    <row r="39" spans="1:5" ht="15" customHeight="1" x14ac:dyDescent="0.25">
      <c r="A39" s="39">
        <v>22</v>
      </c>
      <c r="B39" s="40">
        <v>2047</v>
      </c>
      <c r="C39" s="54">
        <f>'4. Kommunalt ägande'!J25</f>
        <v>21.800348063387528</v>
      </c>
      <c r="D39" s="54">
        <f>'5. Extern aktör'!C25</f>
        <v>0</v>
      </c>
      <c r="E39" s="73">
        <f t="shared" si="0"/>
        <v>21.800348063387528</v>
      </c>
    </row>
    <row r="40" spans="1:5" ht="15" customHeight="1" x14ac:dyDescent="0.25">
      <c r="A40" s="39">
        <v>23</v>
      </c>
      <c r="B40" s="40">
        <v>2048</v>
      </c>
      <c r="C40" s="54">
        <f>'4. Kommunalt ägande'!J26</f>
        <v>21.682078024655276</v>
      </c>
      <c r="D40" s="54">
        <f>'5. Extern aktör'!C26</f>
        <v>0</v>
      </c>
      <c r="E40" s="73">
        <f t="shared" si="0"/>
        <v>21.682078024655276</v>
      </c>
    </row>
    <row r="41" spans="1:5" ht="15" customHeight="1" x14ac:dyDescent="0.25">
      <c r="A41" s="39">
        <v>24</v>
      </c>
      <c r="B41" s="40">
        <v>2049</v>
      </c>
      <c r="C41" s="54">
        <f>'4. Kommunalt ägande'!J27</f>
        <v>21.567445585148381</v>
      </c>
      <c r="D41" s="54">
        <f>'5. Extern aktör'!C27</f>
        <v>0</v>
      </c>
      <c r="E41" s="73">
        <f t="shared" si="0"/>
        <v>21.567445585148381</v>
      </c>
    </row>
    <row r="42" spans="1:5" ht="15" customHeight="1" x14ac:dyDescent="0.25">
      <c r="A42" s="39">
        <v>25</v>
      </c>
      <c r="B42" s="40">
        <v>2050</v>
      </c>
      <c r="C42" s="54">
        <f>'4. Kommunalt ägande'!J28</f>
        <v>21.456523496851347</v>
      </c>
      <c r="D42" s="54">
        <f>'5. Extern aktör'!C28</f>
        <v>0</v>
      </c>
      <c r="E42" s="73">
        <f t="shared" si="0"/>
        <v>21.456523496851347</v>
      </c>
    </row>
    <row r="43" spans="1:5" ht="15" customHeight="1" x14ac:dyDescent="0.25">
      <c r="A43" s="39">
        <v>26</v>
      </c>
      <c r="B43" s="40">
        <v>2051</v>
      </c>
      <c r="C43" s="54">
        <f>'4. Kommunalt ägande'!J29</f>
        <v>21.349385966788375</v>
      </c>
      <c r="D43" s="54">
        <f>'5. Extern aktör'!C29</f>
        <v>0</v>
      </c>
      <c r="E43" s="73">
        <f t="shared" si="0"/>
        <v>21.349385966788375</v>
      </c>
    </row>
    <row r="44" spans="1:5" ht="15" customHeight="1" x14ac:dyDescent="0.25">
      <c r="A44" s="39">
        <v>27</v>
      </c>
      <c r="B44" s="40">
        <v>2052</v>
      </c>
      <c r="C44" s="54">
        <f>'4. Kommunalt ägande'!J30</f>
        <v>21.246108686124145</v>
      </c>
      <c r="D44" s="54">
        <f>'5. Extern aktör'!C30</f>
        <v>0</v>
      </c>
      <c r="E44" s="73">
        <f t="shared" si="0"/>
        <v>21.246108686124145</v>
      </c>
    </row>
    <row r="45" spans="1:5" ht="15" customHeight="1" x14ac:dyDescent="0.25">
      <c r="A45" s="39">
        <v>28</v>
      </c>
      <c r="B45" s="40">
        <v>2053</v>
      </c>
      <c r="C45" s="54">
        <f>'4. Kommunalt ägande'!J31</f>
        <v>21.146768859846627</v>
      </c>
      <c r="D45" s="54">
        <f>'5. Extern aktör'!C31</f>
        <v>0</v>
      </c>
      <c r="E45" s="73">
        <f t="shared" si="0"/>
        <v>21.146768859846627</v>
      </c>
    </row>
    <row r="46" spans="1:5" ht="15" customHeight="1" x14ac:dyDescent="0.25">
      <c r="A46" s="39">
        <v>29</v>
      </c>
      <c r="B46" s="40">
        <v>2054</v>
      </c>
      <c r="C46" s="54">
        <f>'4. Kommunalt ägande'!J32</f>
        <v>21.051445237043559</v>
      </c>
      <c r="D46" s="54">
        <f>'5. Extern aktör'!C32</f>
        <v>0</v>
      </c>
      <c r="E46" s="73">
        <f t="shared" si="0"/>
        <v>21.051445237043559</v>
      </c>
    </row>
    <row r="47" spans="1:5" ht="15" customHeight="1" x14ac:dyDescent="0.25">
      <c r="A47" s="39">
        <v>30</v>
      </c>
      <c r="B47" s="40">
        <v>2055</v>
      </c>
      <c r="C47" s="54">
        <f>'4. Kommunalt ägande'!J33</f>
        <v>20.960218141784427</v>
      </c>
      <c r="D47" s="54">
        <f>'5. Extern aktör'!C33</f>
        <v>0</v>
      </c>
      <c r="E47" s="73">
        <f t="shared" si="0"/>
        <v>20.960218141784427</v>
      </c>
    </row>
    <row r="48" spans="1:5" ht="15" customHeight="1" x14ac:dyDescent="0.25">
      <c r="A48" s="39">
        <v>31</v>
      </c>
      <c r="B48" s="40">
        <v>2056</v>
      </c>
      <c r="C48" s="54">
        <f>'4. Kommunalt ägande'!J34</f>
        <v>0</v>
      </c>
      <c r="D48" s="54">
        <f>'5. Extern aktör'!C34</f>
        <v>0</v>
      </c>
      <c r="E48" s="73">
        <f t="shared" si="0"/>
        <v>0</v>
      </c>
    </row>
    <row r="49" spans="1:5" ht="15" customHeight="1" x14ac:dyDescent="0.25">
      <c r="A49" s="39">
        <v>32</v>
      </c>
      <c r="B49" s="40">
        <v>2057</v>
      </c>
      <c r="C49" s="54">
        <f>'4. Kommunalt ägande'!J35</f>
        <v>0</v>
      </c>
      <c r="D49" s="54">
        <f>'5. Extern aktör'!C35</f>
        <v>0</v>
      </c>
      <c r="E49" s="73">
        <f t="shared" si="0"/>
        <v>0</v>
      </c>
    </row>
    <row r="50" spans="1:5" ht="19.5" customHeight="1" x14ac:dyDescent="0.25">
      <c r="A50" s="39">
        <v>33</v>
      </c>
      <c r="B50" s="40">
        <v>2058</v>
      </c>
      <c r="C50" s="54">
        <f>'4. Kommunalt ägande'!J36</f>
        <v>0</v>
      </c>
      <c r="D50" s="54">
        <f>'5. Extern aktör'!C36</f>
        <v>0</v>
      </c>
      <c r="E50" s="73">
        <f t="shared" ref="E50:E81" si="1">C50-D50</f>
        <v>0</v>
      </c>
    </row>
    <row r="51" spans="1:5" ht="15" customHeight="1" x14ac:dyDescent="0.25">
      <c r="A51" s="39">
        <v>34</v>
      </c>
      <c r="B51" s="40">
        <v>2059</v>
      </c>
      <c r="C51" s="54">
        <f>'4. Kommunalt ägande'!J37</f>
        <v>0</v>
      </c>
      <c r="D51" s="54">
        <f>'5. Extern aktör'!C37</f>
        <v>0</v>
      </c>
      <c r="E51" s="73">
        <f t="shared" si="1"/>
        <v>0</v>
      </c>
    </row>
    <row r="52" spans="1:5" ht="23.25" customHeight="1" x14ac:dyDescent="0.25">
      <c r="A52" s="39">
        <v>35</v>
      </c>
      <c r="B52" s="40">
        <v>2060</v>
      </c>
      <c r="C52" s="54">
        <f>'4. Kommunalt ägande'!J38</f>
        <v>0</v>
      </c>
      <c r="D52" s="54">
        <f>'5. Extern aktör'!C38</f>
        <v>0</v>
      </c>
      <c r="E52" s="73">
        <f t="shared" si="1"/>
        <v>0</v>
      </c>
    </row>
    <row r="53" spans="1:5" ht="15" customHeight="1" x14ac:dyDescent="0.25">
      <c r="A53" s="39">
        <v>36</v>
      </c>
      <c r="B53" s="40">
        <v>2061</v>
      </c>
      <c r="C53" s="54">
        <f>'4. Kommunalt ägande'!J39</f>
        <v>0</v>
      </c>
      <c r="D53" s="54">
        <f>'5. Extern aktör'!C39</f>
        <v>0</v>
      </c>
      <c r="E53" s="73">
        <f t="shared" si="1"/>
        <v>0</v>
      </c>
    </row>
    <row r="54" spans="1:5" ht="15" customHeight="1" x14ac:dyDescent="0.25">
      <c r="A54" s="39">
        <v>37</v>
      </c>
      <c r="B54" s="40">
        <v>2062</v>
      </c>
      <c r="C54" s="54">
        <f>'4. Kommunalt ägande'!J40</f>
        <v>0</v>
      </c>
      <c r="D54" s="54">
        <f>'5. Extern aktör'!C40</f>
        <v>0</v>
      </c>
      <c r="E54" s="73">
        <f t="shared" si="1"/>
        <v>0</v>
      </c>
    </row>
    <row r="55" spans="1:5" ht="15" customHeight="1" x14ac:dyDescent="0.25">
      <c r="A55" s="39">
        <v>38</v>
      </c>
      <c r="B55" s="40">
        <v>2063</v>
      </c>
      <c r="C55" s="54">
        <f>'4. Kommunalt ägande'!J41</f>
        <v>0</v>
      </c>
      <c r="D55" s="54">
        <f>'5. Extern aktör'!C41</f>
        <v>0</v>
      </c>
      <c r="E55" s="73">
        <f t="shared" si="1"/>
        <v>0</v>
      </c>
    </row>
    <row r="56" spans="1:5" ht="15" customHeight="1" x14ac:dyDescent="0.25">
      <c r="A56" s="39">
        <v>39</v>
      </c>
      <c r="B56" s="40">
        <v>2064</v>
      </c>
      <c r="C56" s="54">
        <f>'4. Kommunalt ägande'!J42</f>
        <v>0</v>
      </c>
      <c r="D56" s="54">
        <f>'5. Extern aktör'!C42</f>
        <v>0</v>
      </c>
      <c r="E56" s="73">
        <f t="shared" si="1"/>
        <v>0</v>
      </c>
    </row>
    <row r="57" spans="1:5" ht="15" customHeight="1" x14ac:dyDescent="0.25">
      <c r="A57" s="39">
        <v>40</v>
      </c>
      <c r="B57" s="40">
        <v>2065</v>
      </c>
      <c r="C57" s="54">
        <f>'4. Kommunalt ägande'!J43</f>
        <v>0</v>
      </c>
      <c r="D57" s="54">
        <f>'5. Extern aktör'!C43</f>
        <v>0</v>
      </c>
      <c r="E57" s="73">
        <f t="shared" si="1"/>
        <v>0</v>
      </c>
    </row>
    <row r="58" spans="1:5" ht="15" customHeight="1" x14ac:dyDescent="0.25">
      <c r="A58" s="39">
        <v>41</v>
      </c>
      <c r="B58" s="40">
        <v>2066</v>
      </c>
      <c r="C58" s="54">
        <f>'4. Kommunalt ägande'!J44</f>
        <v>0</v>
      </c>
      <c r="D58" s="54">
        <f>'5. Extern aktör'!C44</f>
        <v>0</v>
      </c>
      <c r="E58" s="73">
        <f t="shared" si="1"/>
        <v>0</v>
      </c>
    </row>
    <row r="59" spans="1:5" ht="15" customHeight="1" x14ac:dyDescent="0.25">
      <c r="A59" s="39">
        <v>42</v>
      </c>
      <c r="B59" s="40">
        <v>2067</v>
      </c>
      <c r="C59" s="54">
        <f>'4. Kommunalt ägande'!J45</f>
        <v>0</v>
      </c>
      <c r="D59" s="54">
        <f>'5. Extern aktör'!C45</f>
        <v>0</v>
      </c>
      <c r="E59" s="73">
        <f t="shared" si="1"/>
        <v>0</v>
      </c>
    </row>
    <row r="60" spans="1:5" ht="15" customHeight="1" x14ac:dyDescent="0.25">
      <c r="A60" s="39">
        <v>43</v>
      </c>
      <c r="B60" s="40">
        <v>2068</v>
      </c>
      <c r="C60" s="54">
        <f>'4. Kommunalt ägande'!J46</f>
        <v>0</v>
      </c>
      <c r="D60" s="54">
        <f>'5. Extern aktör'!C46</f>
        <v>0</v>
      </c>
      <c r="E60" s="73">
        <f t="shared" si="1"/>
        <v>0</v>
      </c>
    </row>
    <row r="61" spans="1:5" ht="15" customHeight="1" x14ac:dyDescent="0.25">
      <c r="A61" s="39">
        <v>44</v>
      </c>
      <c r="B61" s="40">
        <v>2069</v>
      </c>
      <c r="C61" s="54">
        <f>'4. Kommunalt ägande'!J47</f>
        <v>0</v>
      </c>
      <c r="D61" s="54">
        <f>'5. Extern aktör'!C47</f>
        <v>0</v>
      </c>
      <c r="E61" s="73">
        <f t="shared" si="1"/>
        <v>0</v>
      </c>
    </row>
    <row r="62" spans="1:5" ht="15" customHeight="1" x14ac:dyDescent="0.25">
      <c r="A62" s="39">
        <v>45</v>
      </c>
      <c r="B62" s="40">
        <v>2070</v>
      </c>
      <c r="C62" s="54">
        <f>'4. Kommunalt ägande'!J48</f>
        <v>0</v>
      </c>
      <c r="D62" s="54">
        <f>'5. Extern aktör'!C48</f>
        <v>0</v>
      </c>
      <c r="E62" s="73">
        <f t="shared" si="1"/>
        <v>0</v>
      </c>
    </row>
    <row r="63" spans="1:5" ht="15" customHeight="1" x14ac:dyDescent="0.25">
      <c r="A63" s="39">
        <v>46</v>
      </c>
      <c r="B63" s="40">
        <v>2071</v>
      </c>
      <c r="C63" s="54">
        <f>'4. Kommunalt ägande'!J49</f>
        <v>0</v>
      </c>
      <c r="D63" s="54">
        <f>'5. Extern aktör'!C49</f>
        <v>0</v>
      </c>
      <c r="E63" s="73">
        <f t="shared" si="1"/>
        <v>0</v>
      </c>
    </row>
    <row r="64" spans="1:5" ht="23.25" customHeight="1" x14ac:dyDescent="0.25">
      <c r="A64" s="39">
        <v>47</v>
      </c>
      <c r="B64" s="40">
        <v>2072</v>
      </c>
      <c r="C64" s="54">
        <f>'4. Kommunalt ägande'!J50</f>
        <v>0</v>
      </c>
      <c r="D64" s="54">
        <f>'5. Extern aktör'!C50</f>
        <v>0</v>
      </c>
      <c r="E64" s="73">
        <f t="shared" si="1"/>
        <v>0</v>
      </c>
    </row>
    <row r="65" spans="1:5" ht="15" customHeight="1" x14ac:dyDescent="0.25">
      <c r="A65" s="39">
        <v>48</v>
      </c>
      <c r="B65" s="40">
        <v>2073</v>
      </c>
      <c r="C65" s="54">
        <f>'4. Kommunalt ägande'!J51</f>
        <v>0</v>
      </c>
      <c r="D65" s="54">
        <f>'5. Extern aktör'!C51</f>
        <v>0</v>
      </c>
      <c r="E65" s="73">
        <f t="shared" si="1"/>
        <v>0</v>
      </c>
    </row>
    <row r="66" spans="1:5" ht="15" customHeight="1" x14ac:dyDescent="0.25">
      <c r="A66" s="39">
        <v>49</v>
      </c>
      <c r="B66" s="40">
        <v>2074</v>
      </c>
      <c r="C66" s="54">
        <f>'4. Kommunalt ägande'!J52</f>
        <v>0</v>
      </c>
      <c r="D66" s="54">
        <f>'5. Extern aktör'!C52</f>
        <v>0</v>
      </c>
      <c r="E66" s="73">
        <f t="shared" si="1"/>
        <v>0</v>
      </c>
    </row>
    <row r="67" spans="1:5" ht="23.25" customHeight="1" x14ac:dyDescent="0.25">
      <c r="A67" s="39">
        <v>50</v>
      </c>
      <c r="B67" s="40">
        <v>2075</v>
      </c>
      <c r="C67" s="54">
        <f>'4. Kommunalt ägande'!J53</f>
        <v>0</v>
      </c>
      <c r="D67" s="54">
        <f>'5. Extern aktör'!C53</f>
        <v>0</v>
      </c>
      <c r="E67" s="73">
        <f t="shared" si="1"/>
        <v>0</v>
      </c>
    </row>
    <row r="68" spans="1:5" ht="23.25" customHeight="1" x14ac:dyDescent="0.25">
      <c r="A68" s="41"/>
      <c r="B68" s="82"/>
    </row>
  </sheetData>
  <mergeCells count="4">
    <mergeCell ref="A16:E16"/>
    <mergeCell ref="A2:G2"/>
    <mergeCell ref="A3:C3"/>
    <mergeCell ref="A1:G1"/>
  </mergeCells>
  <printOptions horizontalCentered="1"/>
  <pageMargins left="0.4" right="0.4" top="0.4" bottom="0.4" header="0.511811023622047" footer="0.511811023622047"/>
  <pageSetup paperSize="9" scale="56"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0"/>
  <sheetViews>
    <sheetView showGridLines="0" zoomScaleNormal="100" workbookViewId="0">
      <selection activeCell="A121" sqref="A121"/>
    </sheetView>
  </sheetViews>
  <sheetFormatPr defaultColWidth="50" defaultRowHeight="15" x14ac:dyDescent="0.25"/>
  <cols>
    <col min="1" max="1" width="173.42578125" style="42" customWidth="1"/>
    <col min="2" max="2" width="50" style="42" customWidth="1"/>
    <col min="3" max="3" width="18" style="85" customWidth="1"/>
    <col min="4" max="6" width="13" style="85" customWidth="1"/>
    <col min="7" max="9" width="30.85546875" style="42" customWidth="1"/>
    <col min="10" max="10" width="50" style="42" customWidth="1"/>
    <col min="11" max="16384" width="50" style="42"/>
  </cols>
  <sheetData>
    <row r="1" spans="1:1" ht="27.95" customHeight="1" x14ac:dyDescent="0.25">
      <c r="A1" s="74" t="s">
        <v>174</v>
      </c>
    </row>
    <row r="2" spans="1:1" ht="8.1" customHeight="1" x14ac:dyDescent="0.25">
      <c r="A2" s="75"/>
    </row>
    <row r="3" spans="1:1" ht="18" customHeight="1" x14ac:dyDescent="0.25">
      <c r="A3" s="76" t="s">
        <v>175</v>
      </c>
    </row>
    <row r="4" spans="1:1" ht="8.1" customHeight="1" x14ac:dyDescent="0.25">
      <c r="A4" s="75"/>
    </row>
    <row r="5" spans="1:1" ht="24" customHeight="1" x14ac:dyDescent="0.25">
      <c r="A5" s="77" t="s">
        <v>176</v>
      </c>
    </row>
    <row r="6" spans="1:1" ht="18" customHeight="1" x14ac:dyDescent="0.25">
      <c r="A6" s="76" t="s">
        <v>177</v>
      </c>
    </row>
    <row r="7" spans="1:1" ht="18" customHeight="1" x14ac:dyDescent="0.25">
      <c r="A7" s="76" t="s">
        <v>178</v>
      </c>
    </row>
    <row r="8" spans="1:1" ht="18" customHeight="1" x14ac:dyDescent="0.25">
      <c r="A8" s="76" t="s">
        <v>179</v>
      </c>
    </row>
    <row r="9" spans="1:1" ht="18" customHeight="1" x14ac:dyDescent="0.25">
      <c r="A9" s="76" t="s">
        <v>180</v>
      </c>
    </row>
    <row r="10" spans="1:1" ht="18" customHeight="1" x14ac:dyDescent="0.25">
      <c r="A10" s="76" t="s">
        <v>181</v>
      </c>
    </row>
    <row r="11" spans="1:1" ht="18" customHeight="1" x14ac:dyDescent="0.25">
      <c r="A11" s="76" t="s">
        <v>182</v>
      </c>
    </row>
    <row r="12" spans="1:1" ht="18" customHeight="1" x14ac:dyDescent="0.25">
      <c r="A12" s="76" t="s">
        <v>183</v>
      </c>
    </row>
    <row r="13" spans="1:1" ht="8.1" customHeight="1" x14ac:dyDescent="0.25">
      <c r="A13" s="75"/>
    </row>
    <row r="14" spans="1:1" s="43" customFormat="1" ht="18.75" customHeight="1" x14ac:dyDescent="0.3">
      <c r="A14" s="77" t="s">
        <v>184</v>
      </c>
    </row>
    <row r="15" spans="1:1" ht="15" customHeight="1" x14ac:dyDescent="0.25">
      <c r="A15" s="75"/>
    </row>
    <row r="16" spans="1:1" ht="15" customHeight="1" x14ac:dyDescent="0.25">
      <c r="A16" s="76" t="s">
        <v>185</v>
      </c>
    </row>
    <row r="17" spans="1:1" ht="15" customHeight="1" x14ac:dyDescent="0.25">
      <c r="A17" s="78" t="s">
        <v>186</v>
      </c>
    </row>
    <row r="18" spans="1:1" ht="30" customHeight="1" x14ac:dyDescent="0.25">
      <c r="A18" s="78" t="s">
        <v>187</v>
      </c>
    </row>
    <row r="19" spans="1:1" ht="15" customHeight="1" x14ac:dyDescent="0.25">
      <c r="A19" s="75"/>
    </row>
    <row r="20" spans="1:1" ht="15" customHeight="1" x14ac:dyDescent="0.25">
      <c r="A20" s="76" t="s">
        <v>188</v>
      </c>
    </row>
    <row r="21" spans="1:1" ht="15" customHeight="1" x14ac:dyDescent="0.25">
      <c r="A21" s="75"/>
    </row>
    <row r="22" spans="1:1" ht="15" customHeight="1" x14ac:dyDescent="0.25">
      <c r="A22" s="76" t="s">
        <v>189</v>
      </c>
    </row>
    <row r="23" spans="1:1" ht="15" customHeight="1" x14ac:dyDescent="0.25">
      <c r="A23" s="75"/>
    </row>
    <row r="24" spans="1:1" ht="30" customHeight="1" x14ac:dyDescent="0.25">
      <c r="A24" s="76" t="s">
        <v>190</v>
      </c>
    </row>
    <row r="25" spans="1:1" ht="15" customHeight="1" x14ac:dyDescent="0.25">
      <c r="A25" s="75"/>
    </row>
    <row r="26" spans="1:1" ht="18.75" customHeight="1" x14ac:dyDescent="0.25">
      <c r="A26" s="77" t="s">
        <v>191</v>
      </c>
    </row>
    <row r="27" spans="1:1" ht="15" customHeight="1" x14ac:dyDescent="0.25">
      <c r="A27" s="75"/>
    </row>
    <row r="28" spans="1:1" ht="15.75" customHeight="1" x14ac:dyDescent="0.25">
      <c r="A28" s="79" t="s">
        <v>192</v>
      </c>
    </row>
    <row r="29" spans="1:1" ht="15" customHeight="1" x14ac:dyDescent="0.25">
      <c r="A29" s="76" t="s">
        <v>193</v>
      </c>
    </row>
    <row r="30" spans="1:1" ht="15" customHeight="1" x14ac:dyDescent="0.25">
      <c r="A30" s="76" t="s">
        <v>194</v>
      </c>
    </row>
    <row r="31" spans="1:1" ht="15" customHeight="1" x14ac:dyDescent="0.25">
      <c r="A31" s="75"/>
    </row>
    <row r="32" spans="1:1" ht="15" customHeight="1" x14ac:dyDescent="0.25">
      <c r="A32" s="76" t="s">
        <v>195</v>
      </c>
    </row>
    <row r="33" spans="1:1" ht="15" customHeight="1" x14ac:dyDescent="0.25">
      <c r="A33" s="75"/>
    </row>
    <row r="34" spans="1:1" ht="15.75" customHeight="1" x14ac:dyDescent="0.25">
      <c r="A34" s="79" t="s">
        <v>196</v>
      </c>
    </row>
    <row r="35" spans="1:1" ht="15" customHeight="1" x14ac:dyDescent="0.25">
      <c r="A35" s="76" t="s">
        <v>197</v>
      </c>
    </row>
    <row r="36" spans="1:1" ht="15" customHeight="1" x14ac:dyDescent="0.25">
      <c r="A36" s="75"/>
    </row>
    <row r="37" spans="1:1" ht="15" customHeight="1" x14ac:dyDescent="0.25">
      <c r="A37" s="76" t="s">
        <v>198</v>
      </c>
    </row>
    <row r="38" spans="1:1" ht="15" customHeight="1" x14ac:dyDescent="0.25">
      <c r="A38" s="78" t="s">
        <v>199</v>
      </c>
    </row>
    <row r="39" spans="1:1" ht="15" customHeight="1" x14ac:dyDescent="0.25">
      <c r="A39" s="78" t="s">
        <v>200</v>
      </c>
    </row>
    <row r="40" spans="1:1" ht="15" customHeight="1" x14ac:dyDescent="0.25">
      <c r="A40" s="78" t="s">
        <v>201</v>
      </c>
    </row>
    <row r="41" spans="1:1" ht="15" customHeight="1" x14ac:dyDescent="0.25">
      <c r="A41" s="78" t="s">
        <v>202</v>
      </c>
    </row>
    <row r="42" spans="1:1" ht="15" customHeight="1" x14ac:dyDescent="0.25">
      <c r="A42" s="75"/>
    </row>
    <row r="43" spans="1:1" ht="15" customHeight="1" x14ac:dyDescent="0.25">
      <c r="A43" s="76" t="s">
        <v>203</v>
      </c>
    </row>
    <row r="44" spans="1:1" ht="15" customHeight="1" x14ac:dyDescent="0.25">
      <c r="A44" s="75"/>
    </row>
    <row r="45" spans="1:1" ht="15.75" customHeight="1" x14ac:dyDescent="0.25">
      <c r="A45" s="79" t="s">
        <v>204</v>
      </c>
    </row>
    <row r="46" spans="1:1" ht="15" customHeight="1" x14ac:dyDescent="0.25">
      <c r="A46" s="76" t="s">
        <v>205</v>
      </c>
    </row>
    <row r="47" spans="1:1" ht="15" customHeight="1" x14ac:dyDescent="0.25">
      <c r="A47" s="76" t="s">
        <v>206</v>
      </c>
    </row>
    <row r="48" spans="1:1" ht="15" customHeight="1" x14ac:dyDescent="0.25">
      <c r="A48" s="75"/>
    </row>
    <row r="49" spans="1:1" ht="15.75" customHeight="1" x14ac:dyDescent="0.25">
      <c r="A49" s="79" t="s">
        <v>207</v>
      </c>
    </row>
    <row r="50" spans="1:1" ht="30" customHeight="1" x14ac:dyDescent="0.25">
      <c r="A50" s="76" t="s">
        <v>208</v>
      </c>
    </row>
    <row r="51" spans="1:1" ht="15" customHeight="1" x14ac:dyDescent="0.25">
      <c r="A51" s="75"/>
    </row>
    <row r="52" spans="1:1" ht="30" customHeight="1" x14ac:dyDescent="0.25">
      <c r="A52" s="76" t="s">
        <v>209</v>
      </c>
    </row>
    <row r="53" spans="1:1" ht="15" customHeight="1" x14ac:dyDescent="0.25">
      <c r="A53" s="75"/>
    </row>
    <row r="54" spans="1:1" ht="15" customHeight="1" x14ac:dyDescent="0.25">
      <c r="A54" s="76" t="s">
        <v>210</v>
      </c>
    </row>
    <row r="55" spans="1:1" ht="15" customHeight="1" x14ac:dyDescent="0.25">
      <c r="A55" s="78" t="s">
        <v>211</v>
      </c>
    </row>
    <row r="56" spans="1:1" ht="15" customHeight="1" x14ac:dyDescent="0.25">
      <c r="A56" s="78" t="s">
        <v>212</v>
      </c>
    </row>
    <row r="57" spans="1:1" ht="15" customHeight="1" x14ac:dyDescent="0.25">
      <c r="A57" s="78" t="s">
        <v>213</v>
      </c>
    </row>
    <row r="58" spans="1:1" ht="15" customHeight="1" x14ac:dyDescent="0.25">
      <c r="A58" s="75"/>
    </row>
    <row r="59" spans="1:1" ht="15" customHeight="1" x14ac:dyDescent="0.25">
      <c r="A59" s="76" t="s">
        <v>214</v>
      </c>
    </row>
    <row r="60" spans="1:1" ht="15" customHeight="1" x14ac:dyDescent="0.25">
      <c r="A60" s="75"/>
    </row>
    <row r="61" spans="1:1" ht="18.75" customHeight="1" x14ac:dyDescent="0.25">
      <c r="A61" s="77" t="s">
        <v>215</v>
      </c>
    </row>
    <row r="62" spans="1:1" ht="15" customHeight="1" x14ac:dyDescent="0.25">
      <c r="A62" s="75"/>
    </row>
    <row r="63" spans="1:1" ht="15.75" customHeight="1" x14ac:dyDescent="0.25">
      <c r="A63" s="79" t="s">
        <v>216</v>
      </c>
    </row>
    <row r="64" spans="1:1" ht="15" customHeight="1" x14ac:dyDescent="0.25">
      <c r="A64" s="76" t="s">
        <v>217</v>
      </c>
    </row>
    <row r="65" spans="1:1" ht="15" customHeight="1" x14ac:dyDescent="0.25">
      <c r="A65" s="75"/>
    </row>
    <row r="66" spans="1:1" ht="30" customHeight="1" x14ac:dyDescent="0.25">
      <c r="A66" s="76" t="s">
        <v>218</v>
      </c>
    </row>
    <row r="67" spans="1:1" ht="15" customHeight="1" x14ac:dyDescent="0.25">
      <c r="A67" s="75"/>
    </row>
    <row r="68" spans="1:1" ht="15" customHeight="1" x14ac:dyDescent="0.25">
      <c r="A68" s="76" t="s">
        <v>219</v>
      </c>
    </row>
    <row r="69" spans="1:1" ht="15" customHeight="1" x14ac:dyDescent="0.25">
      <c r="A69" s="78" t="s">
        <v>220</v>
      </c>
    </row>
    <row r="70" spans="1:1" ht="15" customHeight="1" x14ac:dyDescent="0.25">
      <c r="A70" s="78" t="s">
        <v>221</v>
      </c>
    </row>
    <row r="71" spans="1:1" ht="15" customHeight="1" x14ac:dyDescent="0.25">
      <c r="A71" s="78" t="s">
        <v>222</v>
      </c>
    </row>
    <row r="72" spans="1:1" ht="15" customHeight="1" x14ac:dyDescent="0.25">
      <c r="A72" s="75"/>
    </row>
    <row r="73" spans="1:1" ht="30" customHeight="1" x14ac:dyDescent="0.25">
      <c r="A73" s="76" t="s">
        <v>223</v>
      </c>
    </row>
    <row r="74" spans="1:1" ht="15" customHeight="1" x14ac:dyDescent="0.25">
      <c r="A74" s="75"/>
    </row>
    <row r="75" spans="1:1" ht="30" customHeight="1" x14ac:dyDescent="0.25">
      <c r="A75" s="76" t="s">
        <v>224</v>
      </c>
    </row>
    <row r="76" spans="1:1" ht="15" customHeight="1" x14ac:dyDescent="0.25">
      <c r="A76" s="75"/>
    </row>
    <row r="77" spans="1:1" ht="30" customHeight="1" x14ac:dyDescent="0.25">
      <c r="A77" s="76" t="s">
        <v>225</v>
      </c>
    </row>
    <row r="78" spans="1:1" ht="15" customHeight="1" x14ac:dyDescent="0.25">
      <c r="A78" s="75"/>
    </row>
    <row r="79" spans="1:1" ht="15.75" customHeight="1" x14ac:dyDescent="0.25">
      <c r="A79" s="79" t="s">
        <v>226</v>
      </c>
    </row>
    <row r="80" spans="1:1" ht="30" customHeight="1" x14ac:dyDescent="0.25">
      <c r="A80" s="76" t="s">
        <v>227</v>
      </c>
    </row>
    <row r="81" spans="1:1" ht="15" customHeight="1" x14ac:dyDescent="0.25">
      <c r="A81" s="75"/>
    </row>
    <row r="82" spans="1:1" ht="30" customHeight="1" x14ac:dyDescent="0.25">
      <c r="A82" s="76" t="s">
        <v>228</v>
      </c>
    </row>
    <row r="83" spans="1:1" ht="15" customHeight="1" x14ac:dyDescent="0.25">
      <c r="A83" s="75"/>
    </row>
    <row r="84" spans="1:1" ht="60" customHeight="1" x14ac:dyDescent="0.25">
      <c r="A84" s="76" t="s">
        <v>229</v>
      </c>
    </row>
    <row r="85" spans="1:1" ht="15" customHeight="1" x14ac:dyDescent="0.25">
      <c r="A85" s="75"/>
    </row>
    <row r="86" spans="1:1" ht="15" customHeight="1" x14ac:dyDescent="0.25">
      <c r="A86" s="76" t="s">
        <v>230</v>
      </c>
    </row>
    <row r="87" spans="1:1" ht="15" customHeight="1" x14ac:dyDescent="0.25">
      <c r="A87" s="75"/>
    </row>
    <row r="88" spans="1:1" ht="15" customHeight="1" x14ac:dyDescent="0.25">
      <c r="A88" s="76" t="s">
        <v>231</v>
      </c>
    </row>
    <row r="89" spans="1:1" ht="15" customHeight="1" x14ac:dyDescent="0.25">
      <c r="A89" s="75"/>
    </row>
    <row r="90" spans="1:1" ht="15" customHeight="1" x14ac:dyDescent="0.25">
      <c r="A90" s="76" t="s">
        <v>232</v>
      </c>
    </row>
    <row r="91" spans="1:1" ht="15" customHeight="1" x14ac:dyDescent="0.25">
      <c r="A91" s="75"/>
    </row>
    <row r="92" spans="1:1" ht="15.75" customHeight="1" x14ac:dyDescent="0.25">
      <c r="A92" s="79" t="s">
        <v>233</v>
      </c>
    </row>
    <row r="93" spans="1:1" ht="45" customHeight="1" x14ac:dyDescent="0.25">
      <c r="A93" s="76" t="s">
        <v>234</v>
      </c>
    </row>
    <row r="94" spans="1:1" ht="15" customHeight="1" x14ac:dyDescent="0.25">
      <c r="A94" s="75"/>
    </row>
    <row r="95" spans="1:1" ht="45" customHeight="1" x14ac:dyDescent="0.25">
      <c r="A95" s="76" t="s">
        <v>235</v>
      </c>
    </row>
    <row r="96" spans="1:1" ht="15" customHeight="1" x14ac:dyDescent="0.25">
      <c r="A96" s="75"/>
    </row>
    <row r="97" spans="1:6" ht="30" customHeight="1" x14ac:dyDescent="0.25">
      <c r="A97" s="76" t="s">
        <v>236</v>
      </c>
    </row>
    <row r="98" spans="1:6" s="89" customFormat="1" ht="30" customHeight="1" x14ac:dyDescent="0.25">
      <c r="A98" s="76"/>
      <c r="C98" s="90"/>
      <c r="D98" s="90"/>
      <c r="E98" s="90"/>
      <c r="F98" s="90"/>
    </row>
    <row r="99" spans="1:6" ht="30" customHeight="1" x14ac:dyDescent="0.25">
      <c r="A99" s="76" t="s">
        <v>237</v>
      </c>
    </row>
    <row r="100" spans="1:6" ht="15" customHeight="1" x14ac:dyDescent="0.25">
      <c r="A100" s="75"/>
    </row>
    <row r="101" spans="1:6" ht="15" customHeight="1" x14ac:dyDescent="0.25">
      <c r="A101" s="76" t="s">
        <v>238</v>
      </c>
    </row>
    <row r="102" spans="1:6" ht="15" customHeight="1" x14ac:dyDescent="0.25">
      <c r="A102" s="75"/>
    </row>
    <row r="103" spans="1:6" ht="15" customHeight="1" x14ac:dyDescent="0.25">
      <c r="A103" s="76" t="s">
        <v>239</v>
      </c>
    </row>
    <row r="104" spans="1:6" ht="15" customHeight="1" x14ac:dyDescent="0.25">
      <c r="A104" s="75"/>
    </row>
    <row r="105" spans="1:6" ht="15.75" customHeight="1" x14ac:dyDescent="0.25">
      <c r="A105" s="79" t="s">
        <v>240</v>
      </c>
    </row>
    <row r="106" spans="1:6" ht="15" customHeight="1" x14ac:dyDescent="0.25">
      <c r="A106" s="76" t="s">
        <v>241</v>
      </c>
    </row>
    <row r="107" spans="1:6" ht="15" customHeight="1" x14ac:dyDescent="0.25">
      <c r="A107" s="75"/>
    </row>
    <row r="108" spans="1:6" ht="15.75" customHeight="1" x14ac:dyDescent="0.25">
      <c r="A108" s="79" t="s">
        <v>242</v>
      </c>
    </row>
    <row r="109" spans="1:6" ht="15" customHeight="1" x14ac:dyDescent="0.25">
      <c r="A109" s="76" t="s">
        <v>243</v>
      </c>
    </row>
    <row r="110" spans="1:6" ht="15" customHeight="1" x14ac:dyDescent="0.25">
      <c r="A110" s="75"/>
    </row>
    <row r="111" spans="1:6" ht="15" customHeight="1" x14ac:dyDescent="0.25">
      <c r="A111" s="76" t="s">
        <v>244</v>
      </c>
    </row>
    <row r="112" spans="1:6" ht="15" customHeight="1" x14ac:dyDescent="0.25">
      <c r="A112" s="75"/>
    </row>
    <row r="113" spans="1:1" ht="30" customHeight="1" x14ac:dyDescent="0.25">
      <c r="A113" s="76" t="s">
        <v>245</v>
      </c>
    </row>
    <row r="114" spans="1:1" ht="15" customHeight="1" x14ac:dyDescent="0.25">
      <c r="A114" s="75"/>
    </row>
    <row r="115" spans="1:1" ht="18.75" customHeight="1" x14ac:dyDescent="0.25">
      <c r="A115" s="77" t="s">
        <v>246</v>
      </c>
    </row>
    <row r="116" spans="1:1" ht="15" customHeight="1" x14ac:dyDescent="0.25">
      <c r="A116" s="75"/>
    </row>
    <row r="117" spans="1:1" ht="45" customHeight="1" x14ac:dyDescent="0.25">
      <c r="A117" s="76" t="s">
        <v>247</v>
      </c>
    </row>
    <row r="118" spans="1:1" ht="15" customHeight="1" x14ac:dyDescent="0.25">
      <c r="A118" s="75"/>
    </row>
    <row r="119" spans="1:1" ht="30" customHeight="1" x14ac:dyDescent="0.25">
      <c r="A119" s="76" t="s">
        <v>248</v>
      </c>
    </row>
    <row r="120" spans="1:1" ht="15" customHeight="1" x14ac:dyDescent="0.25">
      <c r="A120" s="76"/>
    </row>
    <row r="121" spans="1:1" ht="15.75" customHeight="1" x14ac:dyDescent="0.25">
      <c r="A121" s="83" t="s">
        <v>249</v>
      </c>
    </row>
    <row r="122" spans="1:1" ht="45" customHeight="1" x14ac:dyDescent="0.25">
      <c r="A122" s="76" t="s">
        <v>250</v>
      </c>
    </row>
    <row r="123" spans="1:1" ht="15" customHeight="1" x14ac:dyDescent="0.25">
      <c r="A123" s="76"/>
    </row>
    <row r="124" spans="1:1" ht="15.75" customHeight="1" x14ac:dyDescent="0.25">
      <c r="A124" s="83" t="s">
        <v>251</v>
      </c>
    </row>
    <row r="125" spans="1:1" ht="30" customHeight="1" x14ac:dyDescent="0.25">
      <c r="A125" s="91" t="s">
        <v>252</v>
      </c>
    </row>
    <row r="126" spans="1:1" ht="30" customHeight="1" x14ac:dyDescent="0.25">
      <c r="A126" s="91" t="s">
        <v>253</v>
      </c>
    </row>
    <row r="127" spans="1:1" ht="45" customHeight="1" x14ac:dyDescent="0.25">
      <c r="A127" s="91" t="s">
        <v>254</v>
      </c>
    </row>
    <row r="128" spans="1:1" ht="15" customHeight="1" x14ac:dyDescent="0.25">
      <c r="A128" s="78"/>
    </row>
    <row r="129" spans="1:1" ht="15" customHeight="1" x14ac:dyDescent="0.25">
      <c r="A129" s="78"/>
    </row>
    <row r="130" spans="1:1" ht="15.75" customHeight="1" x14ac:dyDescent="0.25">
      <c r="A130" s="83" t="s">
        <v>255</v>
      </c>
    </row>
    <row r="131" spans="1:1" ht="15" customHeight="1" x14ac:dyDescent="0.25">
      <c r="A131" s="76" t="s">
        <v>256</v>
      </c>
    </row>
    <row r="132" spans="1:1" ht="15" customHeight="1" x14ac:dyDescent="0.25">
      <c r="A132" s="76"/>
    </row>
    <row r="133" spans="1:1" ht="15.75" customHeight="1" x14ac:dyDescent="0.25">
      <c r="A133" s="84" t="s">
        <v>257</v>
      </c>
    </row>
    <row r="134" spans="1:1" ht="30" customHeight="1" x14ac:dyDescent="0.25">
      <c r="A134" s="76" t="s">
        <v>258</v>
      </c>
    </row>
    <row r="135" spans="1:1" ht="15" customHeight="1" x14ac:dyDescent="0.25">
      <c r="A135" s="75"/>
    </row>
    <row r="136" spans="1:1" ht="18.75" customHeight="1" x14ac:dyDescent="0.25">
      <c r="A136" s="77" t="s">
        <v>259</v>
      </c>
    </row>
    <row r="137" spans="1:1" ht="15" customHeight="1" x14ac:dyDescent="0.25">
      <c r="A137" s="75"/>
    </row>
    <row r="138" spans="1:1" ht="45" customHeight="1" x14ac:dyDescent="0.25">
      <c r="A138" s="76" t="s">
        <v>260</v>
      </c>
    </row>
    <row r="139" spans="1:1" ht="15" customHeight="1" x14ac:dyDescent="0.25">
      <c r="A139" s="75"/>
    </row>
    <row r="140" spans="1:1" ht="35.25" customHeight="1" x14ac:dyDescent="0.25">
      <c r="A140" s="76" t="s">
        <v>261</v>
      </c>
    </row>
    <row r="141" spans="1:1" ht="12.75" customHeight="1" x14ac:dyDescent="0.25">
      <c r="A141" s="76"/>
    </row>
    <row r="142" spans="1:1" ht="30" customHeight="1" x14ac:dyDescent="0.25">
      <c r="A142" s="76" t="s">
        <v>262</v>
      </c>
    </row>
    <row r="143" spans="1:1" ht="9.75" customHeight="1" x14ac:dyDescent="0.25">
      <c r="A143" s="76"/>
    </row>
    <row r="144" spans="1:1" ht="30" customHeight="1" x14ac:dyDescent="0.25">
      <c r="A144" s="76" t="s">
        <v>263</v>
      </c>
    </row>
    <row r="145" spans="1:3" ht="15" customHeight="1" x14ac:dyDescent="0.25">
      <c r="A145" s="75"/>
    </row>
    <row r="146" spans="1:3" ht="18.75" customHeight="1" x14ac:dyDescent="0.25"/>
    <row r="147" spans="1:3" ht="15" customHeight="1" x14ac:dyDescent="0.25">
      <c r="C147" s="42"/>
    </row>
    <row r="148" spans="1:3" ht="15" customHeight="1" x14ac:dyDescent="0.25">
      <c r="C148" s="42"/>
    </row>
    <row r="149" spans="1:3" ht="15" customHeight="1" x14ac:dyDescent="0.25">
      <c r="C149" s="42"/>
    </row>
    <row r="150" spans="1:3" ht="15" customHeight="1" x14ac:dyDescent="0.25">
      <c r="C150" s="42"/>
    </row>
    <row r="151" spans="1:3" ht="15" customHeight="1" x14ac:dyDescent="0.25">
      <c r="C151" s="42"/>
    </row>
    <row r="152" spans="1:3" ht="15" customHeight="1" x14ac:dyDescent="0.25"/>
    <row r="153" spans="1:3" ht="15" customHeight="1" x14ac:dyDescent="0.25">
      <c r="A153" s="77" t="s">
        <v>264</v>
      </c>
    </row>
    <row r="154" spans="1:3" ht="15" customHeight="1" x14ac:dyDescent="0.25">
      <c r="A154" s="75"/>
    </row>
    <row r="155" spans="1:3" ht="15" customHeight="1" x14ac:dyDescent="0.25">
      <c r="A155" s="76" t="s">
        <v>265</v>
      </c>
    </row>
    <row r="156" spans="1:3" ht="15" customHeight="1" x14ac:dyDescent="0.25">
      <c r="A156" s="78" t="s">
        <v>266</v>
      </c>
    </row>
    <row r="157" spans="1:3" ht="18.75" customHeight="1" x14ac:dyDescent="0.25">
      <c r="A157" s="78" t="s">
        <v>267</v>
      </c>
    </row>
    <row r="158" spans="1:3" ht="15" customHeight="1" x14ac:dyDescent="0.25">
      <c r="A158" s="78" t="s">
        <v>268</v>
      </c>
    </row>
    <row r="159" spans="1:3" ht="15.75" customHeight="1" x14ac:dyDescent="0.25">
      <c r="A159" s="78" t="s">
        <v>269</v>
      </c>
    </row>
    <row r="160" spans="1:3" ht="30" customHeight="1" x14ac:dyDescent="0.25">
      <c r="A160" s="78" t="s">
        <v>270</v>
      </c>
    </row>
    <row r="161" spans="1:1" ht="15" customHeight="1" x14ac:dyDescent="0.25">
      <c r="A161" s="75"/>
    </row>
    <row r="162" spans="1:1" ht="15.75" customHeight="1" x14ac:dyDescent="0.25">
      <c r="A162" s="76" t="s">
        <v>271</v>
      </c>
    </row>
    <row r="163" spans="1:1" ht="15" customHeight="1" x14ac:dyDescent="0.25">
      <c r="A163" s="75"/>
    </row>
    <row r="164" spans="1:1" ht="15" customHeight="1" x14ac:dyDescent="0.25">
      <c r="A164" s="77" t="s">
        <v>272</v>
      </c>
    </row>
    <row r="165" spans="1:1" ht="15.75" customHeight="1" x14ac:dyDescent="0.25">
      <c r="A165" s="75"/>
    </row>
    <row r="166" spans="1:1" ht="15" customHeight="1" x14ac:dyDescent="0.25">
      <c r="A166" s="79" t="s">
        <v>273</v>
      </c>
    </row>
    <row r="167" spans="1:1" ht="15" customHeight="1" x14ac:dyDescent="0.25">
      <c r="A167" s="76" t="s">
        <v>274</v>
      </c>
    </row>
    <row r="168" spans="1:1" ht="15" customHeight="1" x14ac:dyDescent="0.25">
      <c r="A168" s="75"/>
    </row>
    <row r="169" spans="1:1" ht="15" customHeight="1" x14ac:dyDescent="0.25">
      <c r="A169" s="79" t="s">
        <v>275</v>
      </c>
    </row>
    <row r="170" spans="1:1" ht="15.75" customHeight="1" x14ac:dyDescent="0.25">
      <c r="A170" s="76" t="s">
        <v>276</v>
      </c>
    </row>
    <row r="171" spans="1:1" ht="30" customHeight="1" x14ac:dyDescent="0.25">
      <c r="A171" s="75"/>
    </row>
    <row r="172" spans="1:1" ht="15" customHeight="1" x14ac:dyDescent="0.25">
      <c r="A172" s="79" t="s">
        <v>277</v>
      </c>
    </row>
    <row r="173" spans="1:1" ht="15" customHeight="1" x14ac:dyDescent="0.25">
      <c r="A173" s="76" t="s">
        <v>278</v>
      </c>
    </row>
    <row r="174" spans="1:1" ht="15" customHeight="1" x14ac:dyDescent="0.25">
      <c r="A174" s="76" t="s">
        <v>279</v>
      </c>
    </row>
    <row r="175" spans="1:1" ht="15.75" customHeight="1" x14ac:dyDescent="0.25">
      <c r="A175" s="76" t="s">
        <v>280</v>
      </c>
    </row>
    <row r="176" spans="1:1" ht="15" customHeight="1" x14ac:dyDescent="0.25">
      <c r="A176" s="75"/>
    </row>
    <row r="177" spans="1:1" ht="15" customHeight="1" x14ac:dyDescent="0.25">
      <c r="A177" s="79" t="s">
        <v>281</v>
      </c>
    </row>
    <row r="178" spans="1:1" ht="15.75" customHeight="1" x14ac:dyDescent="0.25">
      <c r="A178" s="76" t="s">
        <v>282</v>
      </c>
    </row>
    <row r="179" spans="1:1" ht="15" customHeight="1" x14ac:dyDescent="0.25">
      <c r="A179" s="76" t="s">
        <v>283</v>
      </c>
    </row>
    <row r="180" spans="1:1" ht="15" customHeight="1" x14ac:dyDescent="0.25">
      <c r="A180" s="76" t="s">
        <v>284</v>
      </c>
    </row>
    <row r="181" spans="1:1" ht="15" customHeight="1" x14ac:dyDescent="0.25">
      <c r="A181" s="75"/>
    </row>
    <row r="182" spans="1:1" ht="15.75" customHeight="1" x14ac:dyDescent="0.25">
      <c r="A182" s="79" t="s">
        <v>285</v>
      </c>
    </row>
    <row r="183" spans="1:1" ht="15" customHeight="1" x14ac:dyDescent="0.25">
      <c r="A183" s="76" t="s">
        <v>286</v>
      </c>
    </row>
    <row r="184" spans="1:1" ht="15" customHeight="1" x14ac:dyDescent="0.25">
      <c r="A184" s="75"/>
    </row>
    <row r="185" spans="1:1" ht="15.75" customHeight="1" x14ac:dyDescent="0.25">
      <c r="A185" s="79" t="s">
        <v>287</v>
      </c>
    </row>
    <row r="186" spans="1:1" ht="15" customHeight="1" x14ac:dyDescent="0.25">
      <c r="A186" s="76" t="s">
        <v>288</v>
      </c>
    </row>
    <row r="187" spans="1:1" ht="15" customHeight="1" x14ac:dyDescent="0.25">
      <c r="A187" s="76" t="s">
        <v>289</v>
      </c>
    </row>
    <row r="188" spans="1:1" ht="15" customHeight="1" x14ac:dyDescent="0.25">
      <c r="A188" s="75"/>
    </row>
    <row r="189" spans="1:1" ht="15" customHeight="1" x14ac:dyDescent="0.25">
      <c r="A189" s="79" t="s">
        <v>290</v>
      </c>
    </row>
    <row r="190" spans="1:1" ht="15" customHeight="1" x14ac:dyDescent="0.25">
      <c r="A190" s="76" t="s">
        <v>291</v>
      </c>
    </row>
    <row r="191" spans="1:1" ht="15" customHeight="1" x14ac:dyDescent="0.25">
      <c r="A191" s="75"/>
    </row>
    <row r="192" spans="1:1" ht="15.75" customHeight="1" x14ac:dyDescent="0.25">
      <c r="A192" s="79" t="s">
        <v>292</v>
      </c>
    </row>
    <row r="193" spans="1:1" ht="15" customHeight="1" x14ac:dyDescent="0.25">
      <c r="A193" s="76" t="s">
        <v>293</v>
      </c>
    </row>
    <row r="194" spans="1:1" x14ac:dyDescent="0.25">
      <c r="A194" s="76" t="s">
        <v>294</v>
      </c>
    </row>
    <row r="195" spans="1:1" x14ac:dyDescent="0.25">
      <c r="A195" s="76" t="s">
        <v>295</v>
      </c>
    </row>
    <row r="196" spans="1:1" x14ac:dyDescent="0.25">
      <c r="A196" s="76" t="s">
        <v>296</v>
      </c>
    </row>
    <row r="197" spans="1:1" x14ac:dyDescent="0.25">
      <c r="A197" s="76" t="s">
        <v>297</v>
      </c>
    </row>
    <row r="198" spans="1:1" x14ac:dyDescent="0.25">
      <c r="A198" s="75"/>
    </row>
    <row r="199" spans="1:1" ht="15.75" customHeight="1" x14ac:dyDescent="0.25">
      <c r="A199" s="79" t="s">
        <v>298</v>
      </c>
    </row>
    <row r="200" spans="1:1" x14ac:dyDescent="0.25">
      <c r="A200" s="76" t="s">
        <v>299</v>
      </c>
    </row>
  </sheetData>
  <printOptions horizontalCentered="1"/>
  <pageMargins left="0.39374999999999999" right="0.39374999999999999" top="0.31527777777777799" bottom="0.31527777777777799" header="0.511811023622047" footer="0.511811023622047"/>
  <pageSetup paperSize="9" scale="54" fitToHeight="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1. Sammanfattning</vt:lpstr>
      <vt:lpstr>2. Benchmark kommunalt ägande</vt:lpstr>
      <vt:lpstr>3. Regionala nivåer</vt:lpstr>
      <vt:lpstr>4. Kommunalt ägande</vt:lpstr>
      <vt:lpstr>5. Extern aktör</vt:lpstr>
      <vt:lpstr>6. Jämförelse</vt:lpstr>
      <vt:lpstr>7. Källor och metod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Jämförelseverktyg — egen regi vs koncession</dc:title>
  <dc:subject>Ekonomisk jämförelse av kommunal badhusinvestering över 30 år</dc:subject>
  <dc:creator>Hemtag Fastigheter AB</dc:creator>
  <cp:keywords>badhus, simhall, koncession, egen regi, kommunal investering, nuvärdesanalys</cp:keywords>
  <dc:description>Excel-baserat jämförelseverktyg som jämför egen regi och koncession i nuvärde över 30 år. Standardvärden kalibrerade mot Uppsala kommuns utredning UKAF-2022-0004 och Hemtags kartläggning av 48 svenska kommunala badhusprojekt 2016–2026. Levereras med separat läsguide.</dc:description>
  <cp:lastModifiedBy>Karl Lilja</cp:lastModifiedBy>
  <cp:revision>10</cp:revision>
  <cp:lastPrinted>2026-05-31T16:32:59Z</cp:lastPrinted>
  <dcterms:created xsi:type="dcterms:W3CDTF">2026-04-29T16:37:25Z</dcterms:created>
  <dcterms:modified xsi:type="dcterms:W3CDTF">2026-06-10T06:58:14Z</dcterms:modified>
  <dc:language>en-US</dc:language>
</cp:coreProperties>
</file>